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1970" windowHeight="14655" firstSheet="1" activeTab="1"/>
  </bookViews>
  <sheets>
    <sheet name="Info" sheetId="1" r:id="rId1"/>
    <sheet name="Auslegung" sheetId="2" r:id="rId2"/>
    <sheet name="Blattform" sheetId="3" r:id="rId3"/>
    <sheet name="Anlaufmoment" sheetId="4" r:id="rId4"/>
    <sheet name="Flächendichte" sheetId="5" r:id="rId5"/>
  </sheets>
  <definedNames/>
  <calcPr fullCalcOnLoad="1"/>
</workbook>
</file>

<file path=xl/comments2.xml><?xml version="1.0" encoding="utf-8"?>
<comments xmlns="http://schemas.openxmlformats.org/spreadsheetml/2006/main">
  <authors>
    <author>Oliver Schneider</author>
  </authors>
  <commentList>
    <comment ref="D16" authorId="0">
      <text>
        <r>
          <rPr>
            <b/>
            <sz val="8"/>
            <rFont val="Tahoma"/>
            <family val="0"/>
          </rPr>
          <t>Oliver Schneider:</t>
        </r>
        <r>
          <rPr>
            <sz val="8"/>
            <rFont val="Tahoma"/>
            <family val="0"/>
          </rPr>
          <t xml:space="preserve">
nicht verändern
wird vom Angleich geschrieben</t>
        </r>
      </text>
    </comment>
    <comment ref="D5" authorId="0">
      <text>
        <r>
          <rPr>
            <b/>
            <sz val="8"/>
            <rFont val="Tahoma"/>
            <family val="0"/>
          </rPr>
          <t>Oliver Schneider:</t>
        </r>
        <r>
          <rPr>
            <sz val="8"/>
            <rFont val="Tahoma"/>
            <family val="0"/>
          </rPr>
          <t xml:space="preserve">
Verhältnis von Umfangsgeschwindigkeit der Blattspitze zu Windgeschwindigkeit
Je höher die Blattanzahl ist, desto geringer sollte die SLZ gewählt werden, um optimale Leistungen zu erziehlen 
(z.B. für 2-Blatt etwa 4 bis 8, 3 Blatt: 3 bis 5, 4 Blatt: 2 bis 4)</t>
        </r>
      </text>
    </comment>
    <comment ref="D6" authorId="0">
      <text>
        <r>
          <rPr>
            <b/>
            <sz val="8"/>
            <rFont val="Tahoma"/>
            <family val="0"/>
          </rPr>
          <t>Oliver Schneider:</t>
        </r>
        <r>
          <rPr>
            <sz val="8"/>
            <rFont val="Tahoma"/>
            <family val="0"/>
          </rPr>
          <t xml:space="preserve">
Entspricht halbem gewünschten Repellerdurchmesser 
Je größer der Radius gewählt wird, desto größer wird die erreichbare Leistung (steigt quadratisch an).
Die zu erwartende Drehzahl verhält sich linear bei gleichbleibender SLZ, das heißt, sie halbiert sich bei doppeltem Repellerradius</t>
        </r>
      </text>
    </comment>
    <comment ref="D7" authorId="0">
      <text>
        <r>
          <rPr>
            <b/>
            <sz val="8"/>
            <rFont val="Tahoma"/>
            <family val="0"/>
          </rPr>
          <t>Oliver Schneider:</t>
        </r>
        <r>
          <rPr>
            <sz val="8"/>
            <rFont val="Tahoma"/>
            <family val="0"/>
          </rPr>
          <t xml:space="preserve">
Durchmesser des zu verwendenden Rohres 
in mm</t>
        </r>
      </text>
    </comment>
    <comment ref="D9" authorId="0">
      <text>
        <r>
          <rPr>
            <b/>
            <sz val="8"/>
            <rFont val="Tahoma"/>
            <family val="0"/>
          </rPr>
          <t>Oliver Schneider:</t>
        </r>
        <r>
          <rPr>
            <sz val="8"/>
            <rFont val="Tahoma"/>
            <family val="0"/>
          </rPr>
          <t xml:space="preserve">
diesen Anstellwinkel hat jede Radiusstelle bei Auslegungsschnellaufzahl 
(optimal zwischen 6° und 10°)</t>
        </r>
      </text>
    </comment>
    <comment ref="D10" authorId="0">
      <text>
        <r>
          <rPr>
            <b/>
            <sz val="8"/>
            <rFont val="Tahoma"/>
            <family val="0"/>
          </rPr>
          <t>Oliver Schneider:</t>
        </r>
        <r>
          <rPr>
            <sz val="8"/>
            <rFont val="Tahoma"/>
            <family val="0"/>
          </rPr>
          <t xml:space="preserve">
angenommener Wirkungsgrad des Repellers je nach Güte der Herstellung und Gleichförmigkeit der Anströmung 
(liegt wohl etwa zwischen 15% und 25%)</t>
        </r>
      </text>
    </comment>
    <comment ref="D11" authorId="0">
      <text>
        <r>
          <rPr>
            <b/>
            <sz val="8"/>
            <rFont val="Tahoma"/>
            <family val="0"/>
          </rPr>
          <t>Oliver Schneider:</t>
        </r>
        <r>
          <rPr>
            <sz val="8"/>
            <rFont val="Tahoma"/>
            <family val="0"/>
          </rPr>
          <t xml:space="preserve">
angenommener Wirkungsgrad des elektrischen Generators</t>
        </r>
      </text>
    </comment>
    <comment ref="D12" authorId="0">
      <text>
        <r>
          <rPr>
            <b/>
            <sz val="8"/>
            <rFont val="Tahoma"/>
            <family val="0"/>
          </rPr>
          <t>Oliver Schneider:</t>
        </r>
        <r>
          <rPr>
            <sz val="8"/>
            <rFont val="Tahoma"/>
            <family val="0"/>
          </rPr>
          <t xml:space="preserve">
wird für die Berechnung des Anlaufmomentes benötigt</t>
        </r>
      </text>
    </comment>
    <comment ref="D4" authorId="0">
      <text>
        <r>
          <rPr>
            <b/>
            <sz val="8"/>
            <rFont val="Tahoma"/>
            <family val="0"/>
          </rPr>
          <t>Oliver Schneider:</t>
        </r>
        <r>
          <rPr>
            <sz val="8"/>
            <rFont val="Tahoma"/>
            <family val="0"/>
          </rPr>
          <t xml:space="preserve">
Dichte der Umgebungsluft 
(etwa 1.225 kg/m³ bei 15°C auf Meeresspiegelhöhe)
Wert ist im Wesentlichen abhängig von Standorthöhe (Luftdruck) und Temperatur</t>
        </r>
      </text>
    </comment>
    <comment ref="K4" authorId="0">
      <text>
        <r>
          <rPr>
            <b/>
            <sz val="8"/>
            <rFont val="Tahoma"/>
            <family val="0"/>
          </rPr>
          <t>Oliver Schneider:</t>
        </r>
        <r>
          <rPr>
            <sz val="8"/>
            <rFont val="Tahoma"/>
            <family val="0"/>
          </rPr>
          <t xml:space="preserve">
Gesamte Kreisfläche des Repellers</t>
        </r>
      </text>
    </comment>
    <comment ref="K5" authorId="0">
      <text>
        <r>
          <rPr>
            <b/>
            <sz val="8"/>
            <rFont val="Tahoma"/>
            <family val="0"/>
          </rPr>
          <t>Oliver Schneider:</t>
        </r>
        <r>
          <rPr>
            <sz val="8"/>
            <rFont val="Tahoma"/>
            <family val="0"/>
          </rPr>
          <t xml:space="preserve">
Flächendichte für optimale Leistung (abhängig von gewählter SLZ), wird in Tabellenblatt "Flächendichte" bestimmt
</t>
        </r>
        <r>
          <rPr>
            <b/>
            <u val="single"/>
            <sz val="8"/>
            <rFont val="Tahoma"/>
            <family val="2"/>
          </rPr>
          <t>Andreas Georgi:</t>
        </r>
        <r>
          <rPr>
            <sz val="8"/>
            <rFont val="Tahoma"/>
            <family val="0"/>
          </rPr>
          <t xml:space="preserve">
händisch zu ersetzen, s. Bemerkung über Feld K5 </t>
        </r>
      </text>
    </comment>
    <comment ref="K6" authorId="0">
      <text>
        <r>
          <rPr>
            <b/>
            <sz val="8"/>
            <rFont val="Tahoma"/>
            <family val="0"/>
          </rPr>
          <t>Oliver Schneider:</t>
        </r>
        <r>
          <rPr>
            <sz val="8"/>
            <rFont val="Tahoma"/>
            <family val="0"/>
          </rPr>
          <t xml:space="preserve">
diese Fläche sollten die Blätter für optimale Leistung insgesamt haben</t>
        </r>
      </text>
    </comment>
    <comment ref="K7" authorId="0">
      <text>
        <r>
          <rPr>
            <b/>
            <sz val="8"/>
            <rFont val="Tahoma"/>
            <family val="0"/>
          </rPr>
          <t>Oliver Schneider:</t>
        </r>
        <r>
          <rPr>
            <sz val="8"/>
            <rFont val="Tahoma"/>
            <family val="0"/>
          </rPr>
          <t xml:space="preserve">
Summe der Einzelblattfläche x Blattanzahl</t>
        </r>
      </text>
    </comment>
    <comment ref="K8" authorId="0">
      <text>
        <r>
          <rPr>
            <b/>
            <sz val="8"/>
            <rFont val="Tahoma"/>
            <family val="0"/>
          </rPr>
          <t>Oliver Schneider:</t>
        </r>
        <r>
          <rPr>
            <sz val="8"/>
            <rFont val="Tahoma"/>
            <family val="0"/>
          </rPr>
          <t xml:space="preserve">
theoretisches Anlaufmoment des Repellers bei angegebener Windgeschwindigkeit, wird in Tabellenblatt "Anlaufmoment" berechnet</t>
        </r>
      </text>
    </comment>
    <comment ref="K9" authorId="0">
      <text>
        <r>
          <rPr>
            <b/>
            <sz val="8"/>
            <rFont val="Tahoma"/>
            <family val="0"/>
          </rPr>
          <t>Oliver Schneider:</t>
        </r>
        <r>
          <rPr>
            <sz val="8"/>
            <rFont val="Tahoma"/>
            <family val="0"/>
          </rPr>
          <t xml:space="preserve">
sich einstellende Drehzahl des Repellers bei der angegebenen Größe, SLZ und Windgeschwindigkeit</t>
        </r>
      </text>
    </comment>
    <comment ref="K10" authorId="0">
      <text>
        <r>
          <rPr>
            <b/>
            <sz val="8"/>
            <rFont val="Tahoma"/>
            <family val="0"/>
          </rPr>
          <t>Oliver Schneider:</t>
        </r>
        <r>
          <rPr>
            <sz val="8"/>
            <rFont val="Tahoma"/>
            <family val="0"/>
          </rPr>
          <t xml:space="preserve">
theoretische mechanische Leistung des Repellers bei der angegebenen Windgeschwindigkeit</t>
        </r>
      </text>
    </comment>
    <comment ref="K11" authorId="0">
      <text>
        <r>
          <rPr>
            <b/>
            <sz val="8"/>
            <rFont val="Tahoma"/>
            <family val="0"/>
          </rPr>
          <t>Oliver Schneider:</t>
        </r>
        <r>
          <rPr>
            <sz val="8"/>
            <rFont val="Tahoma"/>
            <family val="0"/>
          </rPr>
          <t xml:space="preserve">
theoretische elektrische Leistung am Ausgang des Generators bei der angegebenen Windgeschwindigkeit</t>
        </r>
      </text>
    </comment>
    <comment ref="D8" authorId="0">
      <text>
        <r>
          <rPr>
            <b/>
            <sz val="8"/>
            <rFont val="Tahoma"/>
            <family val="0"/>
          </rPr>
          <t>Oliver Schneider:</t>
        </r>
        <r>
          <rPr>
            <sz val="8"/>
            <rFont val="Tahoma"/>
            <family val="0"/>
          </rPr>
          <t xml:space="preserve">
Je höher die Blattanzahl ist, desto geringer sollte die SLZ gewählt werden, um optimale Leistungen zu erziehlen 
(z.B. für 2-Blatt etwa 4 bis 8, 3 Blatt: 3 bis 5, 4 Blatt: 2 bis 4)</t>
        </r>
      </text>
    </comment>
  </commentList>
</comments>
</file>

<file path=xl/comments3.xml><?xml version="1.0" encoding="utf-8"?>
<comments xmlns="http://schemas.openxmlformats.org/spreadsheetml/2006/main">
  <authors>
    <author>Oliver Schneider</author>
  </authors>
  <commentList>
    <comment ref="G3" authorId="0">
      <text>
        <r>
          <rPr>
            <b/>
            <sz val="8"/>
            <rFont val="Tahoma"/>
            <family val="0"/>
          </rPr>
          <t>Oliver Schneider:</t>
        </r>
        <r>
          <rPr>
            <sz val="8"/>
            <rFont val="Tahoma"/>
            <family val="0"/>
          </rPr>
          <t xml:space="preserve">
Profiltiefe entspricht Sehnenlänge
= 2*R*sin(eps/2)</t>
        </r>
      </text>
    </comment>
  </commentList>
</comments>
</file>

<file path=xl/comments4.xml><?xml version="1.0" encoding="utf-8"?>
<comments xmlns="http://schemas.openxmlformats.org/spreadsheetml/2006/main">
  <authors>
    <author>Oliver Schneider</author>
  </authors>
  <commentList>
    <comment ref="C3" authorId="0">
      <text>
        <r>
          <rPr>
            <b/>
            <sz val="8"/>
            <rFont val="Tahoma"/>
            <family val="0"/>
          </rPr>
          <t>Oliver Schneider:</t>
        </r>
        <r>
          <rPr>
            <sz val="8"/>
            <rFont val="Tahoma"/>
            <family val="0"/>
          </rPr>
          <t xml:space="preserve">
Die unterschiedliche Profilwölbung hat keinen großen Einfluß auf das Anlaufmoment, da die Anstellwinkel meist größer als 40° sind.
</t>
        </r>
      </text>
    </comment>
    <comment ref="F3" authorId="0">
      <text>
        <r>
          <rPr>
            <b/>
            <sz val="8"/>
            <rFont val="Tahoma"/>
            <family val="0"/>
          </rPr>
          <t>Oliver Schneider:</t>
        </r>
        <r>
          <rPr>
            <sz val="8"/>
            <rFont val="Tahoma"/>
            <family val="0"/>
          </rPr>
          <t xml:space="preserve">
Anstellwinkel am Blattelement</t>
        </r>
      </text>
    </comment>
    <comment ref="G3" authorId="0">
      <text>
        <r>
          <rPr>
            <b/>
            <sz val="8"/>
            <rFont val="Tahoma"/>
            <family val="0"/>
          </rPr>
          <t>Oliver Schneider:</t>
        </r>
        <r>
          <rPr>
            <sz val="8"/>
            <rFont val="Tahoma"/>
            <family val="0"/>
          </rPr>
          <t xml:space="preserve">
Auftriebsbeiwert am jeweiligen Blattelement in Abhängigkeit vom Anstellwinkel</t>
        </r>
      </text>
    </comment>
    <comment ref="H3" authorId="0">
      <text>
        <r>
          <rPr>
            <b/>
            <sz val="8"/>
            <rFont val="Tahoma"/>
            <family val="0"/>
          </rPr>
          <t>Oliver Schneider:</t>
        </r>
        <r>
          <rPr>
            <sz val="8"/>
            <rFont val="Tahoma"/>
            <family val="0"/>
          </rPr>
          <t xml:space="preserve">
Kraft in tangentialer Richtung des jeweiligen Blattelements</t>
        </r>
      </text>
    </comment>
    <comment ref="I3" authorId="0">
      <text>
        <r>
          <rPr>
            <b/>
            <sz val="8"/>
            <rFont val="Tahoma"/>
            <family val="0"/>
          </rPr>
          <t>Oliver Schneider:</t>
        </r>
        <r>
          <rPr>
            <sz val="8"/>
            <rFont val="Tahoma"/>
            <family val="0"/>
          </rPr>
          <t xml:space="preserve">
Resultierendes Moment aus Kraft x Hebelarm 
(dF x Radius)</t>
        </r>
      </text>
    </comment>
  </commentList>
</comments>
</file>

<file path=xl/sharedStrings.xml><?xml version="1.0" encoding="utf-8"?>
<sst xmlns="http://schemas.openxmlformats.org/spreadsheetml/2006/main" count="159" uniqueCount="137">
  <si>
    <t>Eingaben</t>
  </si>
  <si>
    <t>Luftdichte</t>
  </si>
  <si>
    <t>kg/m³</t>
  </si>
  <si>
    <t>r</t>
  </si>
  <si>
    <t>l</t>
  </si>
  <si>
    <t>-</t>
  </si>
  <si>
    <t>Radius Repeller</t>
  </si>
  <si>
    <t>m</t>
  </si>
  <si>
    <t>Durchmesser Rohr</t>
  </si>
  <si>
    <t>mm</t>
  </si>
  <si>
    <t>Blattanzahl</t>
  </si>
  <si>
    <t>n_Bl</t>
  </si>
  <si>
    <t>Soll-Anstellwinkel</t>
  </si>
  <si>
    <t>°</t>
  </si>
  <si>
    <t>Wirk.grad Repeller</t>
  </si>
  <si>
    <t>%</t>
  </si>
  <si>
    <t>Wirk.grad Generator</t>
  </si>
  <si>
    <t>Windgeschwindigkeit</t>
  </si>
  <si>
    <t>v_W</t>
  </si>
  <si>
    <t>m/s</t>
  </si>
  <si>
    <t>Ergebnisse</t>
  </si>
  <si>
    <t>m²</t>
  </si>
  <si>
    <t>Anlaufmoment</t>
  </si>
  <si>
    <t>A_Rep</t>
  </si>
  <si>
    <t>Repellerfläche</t>
  </si>
  <si>
    <t>M_Anl</t>
  </si>
  <si>
    <t>Nm</t>
  </si>
  <si>
    <t>Drehzahl bei SLZ</t>
  </si>
  <si>
    <t>U/min</t>
  </si>
  <si>
    <t>n_SLZ</t>
  </si>
  <si>
    <t>Mech. Leistung</t>
  </si>
  <si>
    <t>P_mech</t>
  </si>
  <si>
    <t>W</t>
  </si>
  <si>
    <t>Elektr. Leistung</t>
  </si>
  <si>
    <t>P_elekr</t>
  </si>
  <si>
    <t>nötiger Einstellwinkel</t>
  </si>
  <si>
    <t>Winkel zur Hinterkante</t>
  </si>
  <si>
    <t>Winkel zur Vorderkante</t>
  </si>
  <si>
    <t>Gesamtwinkel</t>
  </si>
  <si>
    <t>Profiltiefe</t>
  </si>
  <si>
    <t>Profilform (Zuschnitt)</t>
  </si>
  <si>
    <t>lam</t>
  </si>
  <si>
    <t>alp_un</t>
  </si>
  <si>
    <t>eps_eff</t>
  </si>
  <si>
    <t>eps_0</t>
  </si>
  <si>
    <t>eps_1</t>
  </si>
  <si>
    <t>eps</t>
  </si>
  <si>
    <t>c</t>
  </si>
  <si>
    <t>Radius [mm]</t>
  </si>
  <si>
    <t>R_Rep</t>
  </si>
  <si>
    <r>
      <t>a</t>
    </r>
    <r>
      <rPr>
        <sz val="10"/>
        <rFont val="Arial"/>
        <family val="0"/>
      </rPr>
      <t>_Soll</t>
    </r>
  </si>
  <si>
    <r>
      <t>h</t>
    </r>
    <r>
      <rPr>
        <sz val="10"/>
        <rFont val="Arial"/>
        <family val="0"/>
      </rPr>
      <t>_Rep</t>
    </r>
  </si>
  <si>
    <r>
      <t>h</t>
    </r>
    <r>
      <rPr>
        <sz val="10"/>
        <rFont val="Arial"/>
        <family val="0"/>
      </rPr>
      <t>_Gen</t>
    </r>
  </si>
  <si>
    <t>r/R_Rep</t>
  </si>
  <si>
    <t>alpha</t>
  </si>
  <si>
    <t>Ca</t>
  </si>
  <si>
    <t>p_0</t>
  </si>
  <si>
    <t>p_1</t>
  </si>
  <si>
    <t>p_2</t>
  </si>
  <si>
    <t>p_3</t>
  </si>
  <si>
    <t>p_4</t>
  </si>
  <si>
    <t>Radius [m]</t>
  </si>
  <si>
    <t>dr [m]</t>
  </si>
  <si>
    <t>Wirkradius [m]</t>
  </si>
  <si>
    <t>Wirkfläche [m²]</t>
  </si>
  <si>
    <t>ca(alpha)</t>
  </si>
  <si>
    <t>dF [N]</t>
  </si>
  <si>
    <t>Drehzahl bei Ausleg.SLZ</t>
  </si>
  <si>
    <t>Std-Abw.:</t>
  </si>
  <si>
    <t>p_5</t>
  </si>
  <si>
    <t>p_6</t>
  </si>
  <si>
    <t>p_7</t>
  </si>
  <si>
    <t>Sigma</t>
  </si>
  <si>
    <t>Lambda</t>
  </si>
  <si>
    <t>Flächendichte Polynom</t>
  </si>
  <si>
    <t>Sollte nicht verändert werden!</t>
  </si>
  <si>
    <t>Angleichen der nötigen Rotorfläche über Änderung der Profiltiefe</t>
  </si>
  <si>
    <t>A_Opt</t>
  </si>
  <si>
    <t xml:space="preserve">Sigma bei Lambda = </t>
  </si>
  <si>
    <t>optimale Blattfläche</t>
  </si>
  <si>
    <t>optimale Flächendichte</t>
  </si>
  <si>
    <t>Gesamtfläche</t>
  </si>
  <si>
    <t>aktuelle Blattfläche</t>
  </si>
  <si>
    <t>A_Akt</t>
  </si>
  <si>
    <t>Blattform und Zuschnitt</t>
  </si>
  <si>
    <t>Hinterkante [mm]</t>
  </si>
  <si>
    <t>Vorderkante [mm]</t>
  </si>
  <si>
    <t>Flächenverhältnis</t>
  </si>
  <si>
    <t>akt/opt</t>
  </si>
  <si>
    <t>Zu hohe Flächendichte</t>
  </si>
  <si>
    <t>Zu geringe Flächendichte</t>
  </si>
  <si>
    <t>Optimum</t>
  </si>
  <si>
    <t>Blattanzahl erhöhen</t>
  </si>
  <si>
    <t>Rohrdurchmesser verringern</t>
  </si>
  <si>
    <t>SLZ erhöhen</t>
  </si>
  <si>
    <t>Blattanzahl verringern</t>
  </si>
  <si>
    <t>Rohrdurchmesser erhöhen</t>
  </si>
  <si>
    <t>SLZ verringern</t>
  </si>
  <si>
    <t>sollte manuell auf geeignete Werte gesetzt werden</t>
  </si>
  <si>
    <t>D_Rohr</t>
  </si>
  <si>
    <t>cw</t>
  </si>
  <si>
    <t>RoWi-Tool III</t>
  </si>
  <si>
    <t>Tool zur Berechnung von Zuschnittschablonen für Rohrwindräder (Oli - Herbst 2011)</t>
  </si>
  <si>
    <t>(hier wird mit der vollen Windgeschwindigkeit v_w gerechnet)</t>
  </si>
  <si>
    <t>Schnellaufzahl (SLZ)</t>
  </si>
  <si>
    <t>Quelle:</t>
  </si>
  <si>
    <t>http://www.fieldlines.com/story/2006/3/23/233748/134</t>
  </si>
  <si>
    <t xml:space="preserve"> Wölbung h [%]</t>
  </si>
  <si>
    <t>dM [Nmm]</t>
  </si>
  <si>
    <t>Nicht nutzbarer Innenbereich</t>
  </si>
  <si>
    <t>Auftriebsbeiwert über Polynomapproximation</t>
  </si>
  <si>
    <t>Widerstanndsbeiwert über Polynomapproximation</t>
  </si>
  <si>
    <t>Gesamtanlaufmoment:</t>
  </si>
  <si>
    <t>Nun hat Andreas (User Windfried im Forum unter www.kleinwindanlagen.de) zurecht bemängelt, dass bei der Auslegung mit voller Windgeschwindigkeit gerechnet wurde. Dies ist nun in Version III korrigiert, es wird als Geschwindigkeit 2/3 der Windgeschwindigkeit in der Rotorebene angesetzt.</t>
  </si>
  <si>
    <t>Die  wesentlichen Änderungen im Vergleich zu Version 2 sind:</t>
  </si>
  <si>
    <t>(2-Blatt etwa SLZ 4 bis 8, 3-Blatt: 3 bis 5, 4-Blatt: 2 bis 4)</t>
  </si>
  <si>
    <t>In der zweiten Version hatte Max (User Menelaos im Forum unter www.kleinwindanlagen.de) den Vorschlag eingebracht, eine Optimierung mit Bezug zur Flächendichte durchzuführen. Dies wurde umgesetzt und die Geometrie kann über einen Angleich optimiert werden</t>
  </si>
  <si>
    <t>Alpha [°]</t>
  </si>
  <si>
    <t>(es sollte zwischen 0,75 und 2 liegen)</t>
  </si>
  <si>
    <t>Viel Spaß.</t>
  </si>
  <si>
    <t>Falls Fragen auftauchen, können diese im Forum unter www.kleinwindanlagen.de sicher geklärt werden.</t>
  </si>
  <si>
    <t>* In der Rotorebene wird mit 2/3 der Windgeschwindigkeit gerechnet</t>
  </si>
  <si>
    <t>* Die Profiltiefe wird nun über Sehnenlänge berechnet (hat nur minimalen Einfluss)</t>
  </si>
  <si>
    <t>* Es wird gewarnt, wenn die SLZ den Wert 2,5 unterschreitet (darunter wird die Wölbung des Profils zu groß)</t>
  </si>
  <si>
    <t>* Es wird gewarnt, wenn das Verhältnis der SLZ zur Blattzahl ungünstig ist</t>
  </si>
  <si>
    <t>Das RoWiTool entstand 2009 als sehr einfache Variante zur Generierung einer Schablone für einen Repeller aus Abwasserrohr. Der Ansatz ist, dass der Repeller bei einer bestimmten Schnelllaufzahl an jedem Blattradius den selben Anstellwinkel besitzt. Es konnte von mehreren Benutzern gezeigt werden, dass sich mit dieser Optimierung ganz passable Repeller herstellen lassen. Nach und nach wurde es weiterentwickelt.</t>
  </si>
  <si>
    <t xml:space="preserve">* An den wichtigsten Parametern sind Kommentare eingefügt, die beim Überfahren mit der Maus </t>
  </si>
  <si>
    <t xml:space="preserve">   eingeblendet werden (kleine rote Ecke)</t>
  </si>
  <si>
    <t>* Es wird gewarnt, wenn das Verhältnis Rohrdurchmesser (mm) zu Repellerdurchmesser (cm) ungünstig ist</t>
  </si>
  <si>
    <t>Arbeitspunkt ungültig!</t>
  </si>
  <si>
    <t>RoWi-Tool III_mod.</t>
  </si>
  <si>
    <t>Modifizierung: Windfried 16.01.2012</t>
  </si>
  <si>
    <t>Feld K5 sinnvoll ersetzt durch Nähe rechter Toleranzlage in:</t>
  </si>
  <si>
    <t>wird nicht verwendet.</t>
  </si>
  <si>
    <t>Händisch ersetzt in Register &lt;Auslegung&gt; !</t>
  </si>
  <si>
    <t>Mittelwert</t>
  </si>
  <si>
    <t>http://www.otherpower.com/images/scimages/4947/tsr.jpg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</si>
</sst>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
    <numFmt numFmtId="166" formatCode="0.00000"/>
    <numFmt numFmtId="167" formatCode="0.0000"/>
    <numFmt numFmtId="168" formatCode="0.000"/>
    <numFmt numFmtId="169" formatCode="0.0"/>
    <numFmt numFmtId="170" formatCode="0.00000000"/>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29">
    <font>
      <sz val="10"/>
      <name val="Arial"/>
      <family val="0"/>
    </font>
    <font>
      <sz val="8"/>
      <name val="Arial"/>
      <family val="0"/>
    </font>
    <font>
      <sz val="10"/>
      <name val="Symbol"/>
      <family val="1"/>
    </font>
    <font>
      <b/>
      <sz val="10"/>
      <name val="Arial"/>
      <family val="2"/>
    </font>
    <font>
      <b/>
      <sz val="12"/>
      <name val="Arial"/>
      <family val="2"/>
    </font>
    <font>
      <sz val="8.75"/>
      <name val="Arial"/>
      <family val="0"/>
    </font>
    <font>
      <sz val="12"/>
      <name val="Arial"/>
      <family val="2"/>
    </font>
    <font>
      <b/>
      <sz val="11.25"/>
      <name val="Arial"/>
      <family val="0"/>
    </font>
    <font>
      <b/>
      <sz val="8.75"/>
      <name val="Arial"/>
      <family val="2"/>
    </font>
    <font>
      <sz val="9.75"/>
      <name val="Arial"/>
      <family val="0"/>
    </font>
    <font>
      <b/>
      <sz val="10"/>
      <color indexed="53"/>
      <name val="Arial"/>
      <family val="2"/>
    </font>
    <font>
      <b/>
      <sz val="14"/>
      <name val="Arial"/>
      <family val="2"/>
    </font>
    <font>
      <b/>
      <sz val="11"/>
      <color indexed="18"/>
      <name val="Arial"/>
      <family val="2"/>
    </font>
    <font>
      <sz val="10"/>
      <color indexed="9"/>
      <name val="Arial"/>
      <family val="0"/>
    </font>
    <font>
      <sz val="1"/>
      <name val="Arial"/>
      <family val="0"/>
    </font>
    <font>
      <sz val="1.75"/>
      <name val="Arial"/>
      <family val="0"/>
    </font>
    <font>
      <b/>
      <sz val="10"/>
      <color indexed="18"/>
      <name val="Arial"/>
      <family val="2"/>
    </font>
    <font>
      <b/>
      <sz val="10"/>
      <color indexed="12"/>
      <name val="Arial"/>
      <family val="2"/>
    </font>
    <font>
      <b/>
      <sz val="10"/>
      <color indexed="10"/>
      <name val="Arial"/>
      <family val="2"/>
    </font>
    <font>
      <sz val="8"/>
      <name val="Tahoma"/>
      <family val="0"/>
    </font>
    <font>
      <b/>
      <sz val="8"/>
      <name val="Tahoma"/>
      <family val="0"/>
    </font>
    <font>
      <b/>
      <sz val="18"/>
      <name val="Arial"/>
      <family val="2"/>
    </font>
    <font>
      <sz val="10"/>
      <color indexed="12"/>
      <name val="Arial"/>
      <family val="0"/>
    </font>
    <font>
      <u val="single"/>
      <sz val="10"/>
      <color indexed="12"/>
      <name val="Arial"/>
      <family val="0"/>
    </font>
    <font>
      <u val="single"/>
      <sz val="10"/>
      <color indexed="36"/>
      <name val="Arial"/>
      <family val="0"/>
    </font>
    <font>
      <b/>
      <u val="single"/>
      <sz val="8"/>
      <name val="Tahoma"/>
      <family val="2"/>
    </font>
    <font>
      <b/>
      <sz val="10"/>
      <color indexed="14"/>
      <name val="Arial"/>
      <family val="2"/>
    </font>
    <font>
      <sz val="10"/>
      <color indexed="14"/>
      <name val="Arial"/>
      <family val="0"/>
    </font>
    <font>
      <b/>
      <sz val="8"/>
      <name val="Arial"/>
      <family val="2"/>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4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color indexed="63"/>
      </left>
      <right>
        <color indexed="63"/>
      </right>
      <top>
        <color indexed="63"/>
      </top>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style="thin"/>
      <right style="thin"/>
      <top style="thin"/>
      <bottom>
        <color indexed="63"/>
      </bottom>
    </border>
    <border>
      <left style="medium"/>
      <right style="thin"/>
      <top style="medium"/>
      <bottom style="medium"/>
    </border>
    <border>
      <left style="thin"/>
      <right style="medium"/>
      <top style="medium"/>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7">
    <xf numFmtId="0" fontId="0" fillId="0" borderId="0" xfId="0" applyAlignment="1">
      <alignment/>
    </xf>
    <xf numFmtId="0" fontId="3" fillId="2" borderId="1" xfId="0" applyFont="1" applyFill="1" applyBorder="1" applyAlignment="1">
      <alignment/>
    </xf>
    <xf numFmtId="0" fontId="3" fillId="2" borderId="2" xfId="0" applyFont="1" applyFill="1" applyBorder="1" applyAlignment="1">
      <alignment/>
    </xf>
    <xf numFmtId="168" fontId="3" fillId="2" borderId="2" xfId="0" applyNumberFormat="1" applyFont="1" applyFill="1" applyBorder="1" applyAlignment="1">
      <alignment horizontal="right"/>
    </xf>
    <xf numFmtId="0" fontId="3" fillId="2" borderId="3" xfId="0" applyFont="1" applyFill="1" applyBorder="1" applyAlignment="1">
      <alignment/>
    </xf>
    <xf numFmtId="0" fontId="3" fillId="3" borderId="4" xfId="0" applyFont="1" applyFill="1" applyBorder="1" applyAlignment="1">
      <alignment/>
    </xf>
    <xf numFmtId="0" fontId="3" fillId="3" borderId="5" xfId="0" applyFont="1" applyFill="1" applyBorder="1" applyAlignment="1">
      <alignment/>
    </xf>
    <xf numFmtId="169" fontId="3" fillId="3" borderId="5" xfId="0" applyNumberFormat="1" applyFont="1" applyFill="1" applyBorder="1" applyAlignment="1">
      <alignment/>
    </xf>
    <xf numFmtId="0" fontId="3" fillId="3" borderId="6" xfId="0" applyFont="1"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0" xfId="0" applyFill="1" applyBorder="1" applyAlignment="1">
      <alignment/>
    </xf>
    <xf numFmtId="0" fontId="0" fillId="4" borderId="9" xfId="0" applyFill="1" applyBorder="1" applyAlignment="1">
      <alignment/>
    </xf>
    <xf numFmtId="0" fontId="0" fillId="4" borderId="10" xfId="0" applyFill="1" applyBorder="1" applyAlignment="1">
      <alignment/>
    </xf>
    <xf numFmtId="0" fontId="0" fillId="4" borderId="11" xfId="0" applyFill="1" applyBorder="1" applyAlignment="1">
      <alignment/>
    </xf>
    <xf numFmtId="0" fontId="3" fillId="4" borderId="12" xfId="0" applyFont="1" applyFill="1" applyBorder="1" applyAlignment="1">
      <alignment horizontal="center"/>
    </xf>
    <xf numFmtId="2" fontId="0" fillId="4" borderId="12" xfId="0" applyNumberFormat="1" applyFill="1" applyBorder="1" applyAlignment="1">
      <alignment horizontal="center"/>
    </xf>
    <xf numFmtId="169" fontId="0" fillId="4" borderId="12" xfId="0" applyNumberFormat="1" applyFill="1" applyBorder="1" applyAlignment="1">
      <alignment horizontal="center"/>
    </xf>
    <xf numFmtId="169" fontId="0" fillId="4" borderId="12" xfId="0" applyNumberFormat="1" applyFont="1" applyFill="1" applyBorder="1" applyAlignment="1">
      <alignment horizontal="center"/>
    </xf>
    <xf numFmtId="2" fontId="0" fillId="4" borderId="12" xfId="0" applyNumberFormat="1" applyFont="1" applyFill="1" applyBorder="1" applyAlignment="1" applyProtection="1">
      <alignment horizontal="center"/>
      <protection locked="0"/>
    </xf>
    <xf numFmtId="0" fontId="0" fillId="4" borderId="12" xfId="0" applyFill="1" applyBorder="1" applyAlignment="1">
      <alignment horizontal="center"/>
    </xf>
    <xf numFmtId="0" fontId="3" fillId="4" borderId="13" xfId="0" applyFont="1" applyFill="1" applyBorder="1" applyAlignment="1">
      <alignment horizontal="center"/>
    </xf>
    <xf numFmtId="169" fontId="0" fillId="4" borderId="13" xfId="0" applyNumberFormat="1" applyFill="1" applyBorder="1" applyAlignment="1">
      <alignment horizontal="center"/>
    </xf>
    <xf numFmtId="0" fontId="0" fillId="4" borderId="14" xfId="0" applyFill="1" applyBorder="1" applyAlignment="1">
      <alignment horizontal="center"/>
    </xf>
    <xf numFmtId="0" fontId="0" fillId="4" borderId="1" xfId="0" applyFill="1" applyBorder="1" applyAlignment="1" applyProtection="1">
      <alignment horizontal="center"/>
      <protection locked="0"/>
    </xf>
    <xf numFmtId="2" fontId="0" fillId="4" borderId="2" xfId="0" applyNumberFormat="1" applyFill="1" applyBorder="1" applyAlignment="1" applyProtection="1">
      <alignment horizontal="center"/>
      <protection locked="0"/>
    </xf>
    <xf numFmtId="2" fontId="0" fillId="4" borderId="3" xfId="0" applyNumberFormat="1" applyFill="1" applyBorder="1" applyAlignment="1" applyProtection="1">
      <alignment horizontal="center"/>
      <protection locked="0"/>
    </xf>
    <xf numFmtId="0" fontId="0" fillId="4" borderId="15" xfId="0"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2" fontId="0" fillId="4" borderId="16" xfId="0" applyNumberFormat="1" applyFill="1" applyBorder="1" applyAlignment="1" applyProtection="1">
      <alignment horizontal="center"/>
      <protection locked="0"/>
    </xf>
    <xf numFmtId="0" fontId="3" fillId="4" borderId="17" xfId="0" applyFont="1" applyFill="1" applyBorder="1" applyAlignment="1">
      <alignment/>
    </xf>
    <xf numFmtId="0" fontId="0" fillId="4" borderId="18" xfId="0" applyFill="1" applyBorder="1" applyAlignment="1">
      <alignment/>
    </xf>
    <xf numFmtId="0" fontId="0" fillId="4" borderId="19" xfId="0" applyFill="1" applyBorder="1" applyAlignment="1">
      <alignment horizontal="right"/>
    </xf>
    <xf numFmtId="0" fontId="0" fillId="4" borderId="12" xfId="0" applyFill="1" applyBorder="1" applyAlignment="1">
      <alignment/>
    </xf>
    <xf numFmtId="0" fontId="0" fillId="4" borderId="20" xfId="0" applyFill="1" applyBorder="1" applyAlignment="1">
      <alignment horizontal="right"/>
    </xf>
    <xf numFmtId="0" fontId="0" fillId="4" borderId="21" xfId="0" applyFill="1" applyBorder="1" applyAlignment="1">
      <alignment/>
    </xf>
    <xf numFmtId="0" fontId="0" fillId="4" borderId="22" xfId="0" applyFill="1" applyBorder="1" applyAlignment="1">
      <alignment horizontal="right"/>
    </xf>
    <xf numFmtId="2" fontId="17" fillId="4" borderId="18" xfId="0" applyNumberFormat="1" applyFont="1" applyFill="1" applyBorder="1" applyAlignment="1">
      <alignment/>
    </xf>
    <xf numFmtId="2" fontId="17" fillId="4" borderId="12" xfId="0" applyNumberFormat="1" applyFont="1" applyFill="1" applyBorder="1" applyAlignment="1">
      <alignment/>
    </xf>
    <xf numFmtId="167" fontId="17" fillId="4" borderId="12" xfId="0" applyNumberFormat="1" applyFont="1" applyFill="1" applyBorder="1" applyAlignment="1">
      <alignment/>
    </xf>
    <xf numFmtId="169" fontId="17" fillId="4" borderId="12" xfId="0" applyNumberFormat="1" applyFont="1" applyFill="1" applyBorder="1" applyAlignment="1">
      <alignment/>
    </xf>
    <xf numFmtId="167" fontId="17" fillId="4" borderId="21" xfId="0" applyNumberFormat="1" applyFont="1" applyFill="1" applyBorder="1" applyAlignment="1">
      <alignment/>
    </xf>
    <xf numFmtId="0" fontId="0" fillId="4" borderId="0" xfId="0" applyFill="1" applyAlignment="1">
      <alignment/>
    </xf>
    <xf numFmtId="0" fontId="13" fillId="4" borderId="17" xfId="0" applyFont="1" applyFill="1" applyBorder="1" applyAlignment="1">
      <alignment/>
    </xf>
    <xf numFmtId="0" fontId="13" fillId="4" borderId="23" xfId="0" applyFont="1" applyFill="1" applyBorder="1" applyAlignment="1">
      <alignment/>
    </xf>
    <xf numFmtId="0" fontId="13" fillId="4" borderId="7" xfId="0" applyFont="1" applyFill="1" applyBorder="1" applyAlignment="1">
      <alignment/>
    </xf>
    <xf numFmtId="0" fontId="13" fillId="4" borderId="8" xfId="0" applyFont="1" applyFill="1" applyBorder="1" applyAlignment="1">
      <alignment/>
    </xf>
    <xf numFmtId="0" fontId="13" fillId="4" borderId="0" xfId="0" applyFont="1" applyFill="1" applyBorder="1" applyAlignment="1">
      <alignment/>
    </xf>
    <xf numFmtId="0" fontId="13" fillId="4" borderId="9" xfId="0" applyFont="1" applyFill="1" applyBorder="1" applyAlignment="1">
      <alignment/>
    </xf>
    <xf numFmtId="0" fontId="0" fillId="4" borderId="0" xfId="0" applyFill="1" applyAlignment="1">
      <alignment horizontal="center"/>
    </xf>
    <xf numFmtId="0" fontId="0" fillId="4" borderId="24" xfId="0" applyFill="1" applyBorder="1" applyAlignment="1">
      <alignment/>
    </xf>
    <xf numFmtId="0" fontId="2" fillId="4" borderId="18" xfId="0" applyFont="1" applyFill="1" applyBorder="1" applyAlignment="1">
      <alignment horizontal="center"/>
    </xf>
    <xf numFmtId="0" fontId="17" fillId="4" borderId="18" xfId="0" applyFont="1" applyFill="1" applyBorder="1" applyAlignment="1" applyProtection="1">
      <alignment/>
      <protection locked="0"/>
    </xf>
    <xf numFmtId="2" fontId="13" fillId="4" borderId="0" xfId="0" applyNumberFormat="1" applyFont="1" applyFill="1" applyBorder="1" applyAlignment="1">
      <alignment/>
    </xf>
    <xf numFmtId="0" fontId="0" fillId="4" borderId="25" xfId="0" applyFill="1" applyBorder="1" applyAlignment="1">
      <alignment/>
    </xf>
    <xf numFmtId="0" fontId="2" fillId="4" borderId="12" xfId="0" applyFont="1" applyFill="1" applyBorder="1" applyAlignment="1">
      <alignment horizontal="center"/>
    </xf>
    <xf numFmtId="0" fontId="17" fillId="4" borderId="12" xfId="0" applyFont="1" applyFill="1" applyBorder="1" applyAlignment="1" applyProtection="1">
      <alignment/>
      <protection locked="0"/>
    </xf>
    <xf numFmtId="0" fontId="13" fillId="4" borderId="10" xfId="0" applyFont="1" applyFill="1" applyBorder="1" applyAlignment="1">
      <alignment/>
    </xf>
    <xf numFmtId="0" fontId="13" fillId="4" borderId="26" xfId="0" applyFont="1" applyFill="1" applyBorder="1" applyAlignment="1">
      <alignment/>
    </xf>
    <xf numFmtId="0" fontId="13" fillId="4" borderId="11" xfId="0" applyFont="1" applyFill="1" applyBorder="1" applyAlignment="1">
      <alignment/>
    </xf>
    <xf numFmtId="0" fontId="0" fillId="4" borderId="27" xfId="0" applyFill="1" applyBorder="1" applyAlignment="1">
      <alignment/>
    </xf>
    <xf numFmtId="0" fontId="0" fillId="4" borderId="21" xfId="0" applyFill="1" applyBorder="1" applyAlignment="1">
      <alignment horizontal="center"/>
    </xf>
    <xf numFmtId="0" fontId="17" fillId="4" borderId="21" xfId="0" applyFont="1" applyFill="1" applyBorder="1" applyAlignment="1" applyProtection="1">
      <alignment/>
      <protection locked="0"/>
    </xf>
    <xf numFmtId="0" fontId="17" fillId="4" borderId="0" xfId="0" applyFont="1" applyFill="1" applyBorder="1" applyAlignment="1" applyProtection="1">
      <alignment/>
      <protection locked="0"/>
    </xf>
    <xf numFmtId="0" fontId="13" fillId="4" borderId="0" xfId="0" applyFont="1" applyFill="1" applyAlignment="1">
      <alignment horizontal="center"/>
    </xf>
    <xf numFmtId="1" fontId="13" fillId="4" borderId="0" xfId="0" applyNumberFormat="1" applyFont="1" applyFill="1" applyAlignment="1">
      <alignment horizontal="center"/>
    </xf>
    <xf numFmtId="0" fontId="3" fillId="4" borderId="0" xfId="0" applyFont="1" applyFill="1" applyBorder="1" applyAlignment="1">
      <alignment horizontal="center" vertical="center"/>
    </xf>
    <xf numFmtId="0" fontId="0" fillId="4" borderId="0" xfId="0" applyFill="1" applyBorder="1" applyAlignment="1">
      <alignment horizontal="center"/>
    </xf>
    <xf numFmtId="0" fontId="0" fillId="4" borderId="0" xfId="0" applyFill="1" applyBorder="1" applyAlignment="1">
      <alignment horizontal="right"/>
    </xf>
    <xf numFmtId="169" fontId="0" fillId="4" borderId="0" xfId="0" applyNumberFormat="1" applyFont="1" applyFill="1" applyAlignment="1">
      <alignment horizontal="center"/>
    </xf>
    <xf numFmtId="0" fontId="3" fillId="4" borderId="0" xfId="0" applyFont="1" applyFill="1" applyAlignment="1">
      <alignment horizontal="center"/>
    </xf>
    <xf numFmtId="2" fontId="17" fillId="4" borderId="21" xfId="0" applyNumberFormat="1" applyFont="1" applyFill="1" applyBorder="1" applyAlignment="1">
      <alignment/>
    </xf>
    <xf numFmtId="0" fontId="0" fillId="4" borderId="28" xfId="0" applyFill="1" applyBorder="1" applyAlignment="1">
      <alignment/>
    </xf>
    <xf numFmtId="0" fontId="0" fillId="4" borderId="14" xfId="0" applyFill="1" applyBorder="1" applyAlignment="1">
      <alignment/>
    </xf>
    <xf numFmtId="0" fontId="0" fillId="4" borderId="29" xfId="0" applyFill="1" applyBorder="1" applyAlignment="1">
      <alignment horizontal="right"/>
    </xf>
    <xf numFmtId="0" fontId="16" fillId="5" borderId="17" xfId="0" applyFont="1" applyFill="1" applyBorder="1" applyAlignment="1">
      <alignment/>
    </xf>
    <xf numFmtId="0" fontId="0" fillId="5" borderId="23" xfId="0" applyFill="1" applyBorder="1" applyAlignment="1">
      <alignment/>
    </xf>
    <xf numFmtId="0" fontId="0" fillId="5" borderId="7" xfId="0" applyFill="1" applyBorder="1" applyAlignment="1">
      <alignment/>
    </xf>
    <xf numFmtId="0" fontId="0" fillId="5" borderId="8" xfId="0" applyFill="1" applyBorder="1" applyAlignment="1">
      <alignment/>
    </xf>
    <xf numFmtId="0" fontId="0" fillId="5" borderId="0" xfId="0" applyFill="1" applyBorder="1" applyAlignment="1">
      <alignment/>
    </xf>
    <xf numFmtId="0" fontId="0" fillId="5" borderId="9"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26" xfId="0" applyFill="1" applyBorder="1" applyAlignment="1">
      <alignment/>
    </xf>
    <xf numFmtId="0" fontId="11" fillId="4" borderId="0" xfId="0" applyFont="1" applyFill="1" applyAlignment="1">
      <alignment/>
    </xf>
    <xf numFmtId="0" fontId="6" fillId="4" borderId="0" xfId="0" applyFont="1" applyFill="1" applyAlignment="1">
      <alignment/>
    </xf>
    <xf numFmtId="0" fontId="0" fillId="4" borderId="1" xfId="0" applyFill="1" applyBorder="1" applyAlignment="1">
      <alignment/>
    </xf>
    <xf numFmtId="0" fontId="0" fillId="4" borderId="2" xfId="0" applyFill="1" applyBorder="1" applyAlignment="1">
      <alignment/>
    </xf>
    <xf numFmtId="2" fontId="0" fillId="4" borderId="2" xfId="0" applyNumberFormat="1" applyFill="1" applyBorder="1" applyAlignment="1">
      <alignment horizontal="center"/>
    </xf>
    <xf numFmtId="167" fontId="0" fillId="4" borderId="3" xfId="0" applyNumberFormat="1" applyFill="1" applyBorder="1" applyAlignment="1">
      <alignment horizontal="center"/>
    </xf>
    <xf numFmtId="0" fontId="0" fillId="4" borderId="15" xfId="0" applyFill="1" applyBorder="1" applyAlignment="1">
      <alignment/>
    </xf>
    <xf numFmtId="166" fontId="0" fillId="4" borderId="0" xfId="0" applyNumberFormat="1" applyFill="1" applyBorder="1" applyAlignment="1">
      <alignment/>
    </xf>
    <xf numFmtId="2" fontId="0" fillId="4" borderId="0" xfId="0" applyNumberFormat="1" applyFill="1" applyBorder="1" applyAlignment="1">
      <alignment/>
    </xf>
    <xf numFmtId="2" fontId="0" fillId="4" borderId="0" xfId="0" applyNumberFormat="1" applyFill="1" applyBorder="1" applyAlignment="1">
      <alignment horizontal="center"/>
    </xf>
    <xf numFmtId="167" fontId="0" fillId="4" borderId="16" xfId="0" applyNumberFormat="1" applyFill="1" applyBorder="1" applyAlignment="1">
      <alignment horizontal="center"/>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4" fillId="4" borderId="1" xfId="0" applyFont="1" applyFill="1" applyBorder="1" applyAlignment="1">
      <alignment/>
    </xf>
    <xf numFmtId="0" fontId="0" fillId="4" borderId="3" xfId="0" applyFill="1" applyBorder="1" applyAlignment="1">
      <alignment/>
    </xf>
    <xf numFmtId="0" fontId="0" fillId="4" borderId="16" xfId="0" applyFill="1" applyBorder="1" applyAlignment="1">
      <alignment/>
    </xf>
    <xf numFmtId="0" fontId="0" fillId="4" borderId="30" xfId="0" applyFill="1" applyBorder="1" applyAlignment="1">
      <alignment/>
    </xf>
    <xf numFmtId="0" fontId="17" fillId="4" borderId="15" xfId="0" applyFont="1" applyFill="1" applyBorder="1" applyAlignment="1">
      <alignment/>
    </xf>
    <xf numFmtId="0" fontId="17" fillId="4" borderId="0" xfId="0" applyFont="1" applyFill="1" applyBorder="1" applyAlignment="1">
      <alignment/>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168" fontId="0" fillId="4" borderId="0" xfId="0" applyNumberFormat="1" applyFill="1" applyAlignment="1">
      <alignment/>
    </xf>
    <xf numFmtId="168" fontId="0" fillId="4" borderId="0" xfId="0" applyNumberFormat="1" applyFill="1" applyAlignment="1">
      <alignment horizontal="center"/>
    </xf>
    <xf numFmtId="2" fontId="0" fillId="4" borderId="0" xfId="0" applyNumberFormat="1" applyFill="1" applyAlignment="1">
      <alignment horizontal="center"/>
    </xf>
    <xf numFmtId="167" fontId="0" fillId="4" borderId="0" xfId="0" applyNumberFormat="1" applyFill="1" applyAlignment="1">
      <alignment horizontal="center"/>
    </xf>
    <xf numFmtId="166" fontId="0" fillId="4" borderId="0" xfId="0" applyNumberFormat="1" applyFill="1" applyAlignment="1">
      <alignment horizontal="center"/>
    </xf>
    <xf numFmtId="2" fontId="0" fillId="4" borderId="0" xfId="0" applyNumberFormat="1" applyFill="1" applyAlignment="1">
      <alignment/>
    </xf>
    <xf numFmtId="169" fontId="0" fillId="4" borderId="0" xfId="0" applyNumberFormat="1" applyFill="1" applyAlignment="1">
      <alignment horizontal="center"/>
    </xf>
    <xf numFmtId="169" fontId="0" fillId="4" borderId="0" xfId="0" applyNumberFormat="1" applyFill="1" applyAlignment="1">
      <alignment/>
    </xf>
    <xf numFmtId="0" fontId="18" fillId="4" borderId="0" xfId="0" applyFont="1" applyFill="1" applyAlignment="1">
      <alignment/>
    </xf>
    <xf numFmtId="168" fontId="0" fillId="4" borderId="12" xfId="0" applyNumberFormat="1" applyFill="1" applyBorder="1" applyAlignment="1">
      <alignment horizontal="center"/>
    </xf>
    <xf numFmtId="175" fontId="0" fillId="4" borderId="12" xfId="19" applyNumberFormat="1" applyFill="1" applyBorder="1" applyAlignment="1">
      <alignment horizontal="center"/>
    </xf>
    <xf numFmtId="166" fontId="0" fillId="4" borderId="12" xfId="0" applyNumberFormat="1" applyFill="1" applyBorder="1" applyAlignment="1">
      <alignment horizontal="center"/>
    </xf>
    <xf numFmtId="167" fontId="0" fillId="4" borderId="12" xfId="0" applyNumberFormat="1" applyFill="1" applyBorder="1" applyAlignment="1">
      <alignment horizontal="center"/>
    </xf>
    <xf numFmtId="168" fontId="0" fillId="4" borderId="31" xfId="0" applyNumberFormat="1" applyFill="1" applyBorder="1" applyAlignment="1">
      <alignment horizontal="center"/>
    </xf>
    <xf numFmtId="166" fontId="0" fillId="4" borderId="31" xfId="0" applyNumberFormat="1" applyFill="1" applyBorder="1" applyAlignment="1">
      <alignment horizontal="center"/>
    </xf>
    <xf numFmtId="0" fontId="0" fillId="4" borderId="32" xfId="0" applyFill="1" applyBorder="1" applyAlignment="1">
      <alignment/>
    </xf>
    <xf numFmtId="166" fontId="0" fillId="4" borderId="33" xfId="0" applyNumberFormat="1" applyFill="1" applyBorder="1" applyAlignment="1">
      <alignment horizontal="center"/>
    </xf>
    <xf numFmtId="0" fontId="3" fillId="4" borderId="25" xfId="0" applyFont="1" applyFill="1" applyBorder="1" applyAlignment="1">
      <alignment horizontal="center"/>
    </xf>
    <xf numFmtId="0" fontId="0" fillId="4" borderId="20" xfId="0" applyFill="1" applyBorder="1" applyAlignment="1">
      <alignment horizontal="center"/>
    </xf>
    <xf numFmtId="168" fontId="0" fillId="4" borderId="25" xfId="0" applyNumberFormat="1" applyFill="1" applyBorder="1" applyAlignment="1">
      <alignment horizontal="center"/>
    </xf>
    <xf numFmtId="2" fontId="0" fillId="4" borderId="31" xfId="0" applyNumberFormat="1" applyFill="1" applyBorder="1" applyAlignment="1">
      <alignment horizontal="center"/>
    </xf>
    <xf numFmtId="167" fontId="0" fillId="4" borderId="31" xfId="0" applyNumberFormat="1" applyFill="1" applyBorder="1" applyAlignment="1">
      <alignment horizontal="center"/>
    </xf>
    <xf numFmtId="0" fontId="0" fillId="4" borderId="34" xfId="0" applyFill="1" applyBorder="1" applyAlignment="1">
      <alignment horizontal="center"/>
    </xf>
    <xf numFmtId="0" fontId="1" fillId="4" borderId="0" xfId="0" applyFont="1" applyFill="1" applyBorder="1" applyAlignment="1">
      <alignment horizontal="center" wrapText="1"/>
    </xf>
    <xf numFmtId="0" fontId="1" fillId="4" borderId="0" xfId="0" applyFont="1" applyFill="1" applyBorder="1" applyAlignment="1">
      <alignment wrapText="1"/>
    </xf>
    <xf numFmtId="0" fontId="1" fillId="4" borderId="0" xfId="0" applyFont="1" applyFill="1" applyBorder="1" applyAlignment="1">
      <alignment/>
    </xf>
    <xf numFmtId="0" fontId="0" fillId="5" borderId="15" xfId="0" applyFill="1" applyBorder="1" applyAlignment="1" applyProtection="1">
      <alignment horizontal="center"/>
      <protection locked="0"/>
    </xf>
    <xf numFmtId="2" fontId="0" fillId="5" borderId="0" xfId="0" applyNumberFormat="1" applyFill="1" applyBorder="1" applyAlignment="1" applyProtection="1">
      <alignment horizontal="center"/>
      <protection locked="0"/>
    </xf>
    <xf numFmtId="2" fontId="0" fillId="5" borderId="16" xfId="0" applyNumberFormat="1" applyFill="1" applyBorder="1" applyAlignment="1" applyProtection="1">
      <alignment horizontal="center"/>
      <protection locked="0"/>
    </xf>
    <xf numFmtId="0" fontId="3" fillId="5" borderId="15" xfId="0" applyFont="1" applyFill="1" applyBorder="1" applyAlignment="1" applyProtection="1">
      <alignment horizontal="center"/>
      <protection locked="0"/>
    </xf>
    <xf numFmtId="2" fontId="3" fillId="5" borderId="0" xfId="0" applyNumberFormat="1" applyFont="1" applyFill="1" applyBorder="1" applyAlignment="1" applyProtection="1">
      <alignment horizontal="center"/>
      <protection locked="0"/>
    </xf>
    <xf numFmtId="2" fontId="3" fillId="5" borderId="16" xfId="0" applyNumberFormat="1" applyFont="1" applyFill="1" applyBorder="1" applyAlignment="1" applyProtection="1">
      <alignment horizontal="center"/>
      <protection locked="0"/>
    </xf>
    <xf numFmtId="0" fontId="3" fillId="5" borderId="4" xfId="0" applyFont="1" applyFill="1" applyBorder="1" applyAlignment="1" applyProtection="1">
      <alignment horizontal="center"/>
      <protection locked="0"/>
    </xf>
    <xf numFmtId="2" fontId="3" fillId="5" borderId="5" xfId="0" applyNumberFormat="1" applyFont="1" applyFill="1" applyBorder="1" applyAlignment="1" applyProtection="1">
      <alignment horizontal="center"/>
      <protection locked="0"/>
    </xf>
    <xf numFmtId="2" fontId="3" fillId="5" borderId="6" xfId="0" applyNumberFormat="1" applyFont="1" applyFill="1" applyBorder="1" applyAlignment="1" applyProtection="1">
      <alignment horizontal="center"/>
      <protection locked="0"/>
    </xf>
    <xf numFmtId="2" fontId="13" fillId="4" borderId="14" xfId="0" applyNumberFormat="1" applyFont="1" applyFill="1" applyBorder="1" applyAlignment="1">
      <alignment horizontal="center"/>
    </xf>
    <xf numFmtId="0" fontId="13" fillId="4" borderId="14" xfId="0" applyFont="1" applyFill="1" applyBorder="1" applyAlignment="1">
      <alignment horizontal="center"/>
    </xf>
    <xf numFmtId="0" fontId="10" fillId="4" borderId="30" xfId="0" applyFont="1" applyFill="1" applyBorder="1" applyAlignment="1">
      <alignment/>
    </xf>
    <xf numFmtId="0" fontId="0" fillId="4" borderId="35" xfId="0" applyFill="1" applyBorder="1" applyAlignment="1">
      <alignment/>
    </xf>
    <xf numFmtId="0" fontId="0" fillId="4" borderId="36" xfId="0" applyFill="1" applyBorder="1" applyAlignment="1">
      <alignment/>
    </xf>
    <xf numFmtId="0" fontId="0" fillId="4" borderId="0" xfId="0" applyFont="1" applyFill="1" applyAlignment="1">
      <alignment/>
    </xf>
    <xf numFmtId="166" fontId="0" fillId="4" borderId="0" xfId="0" applyNumberFormat="1" applyFill="1" applyAlignment="1">
      <alignment/>
    </xf>
    <xf numFmtId="167" fontId="0" fillId="4" borderId="0" xfId="0" applyNumberFormat="1" applyFill="1" applyAlignment="1">
      <alignment/>
    </xf>
    <xf numFmtId="0" fontId="0" fillId="4" borderId="35" xfId="0" applyFill="1" applyBorder="1" applyAlignment="1">
      <alignment horizontal="left"/>
    </xf>
    <xf numFmtId="2" fontId="0" fillId="4" borderId="35" xfId="0" applyNumberFormat="1" applyFill="1" applyBorder="1" applyAlignment="1">
      <alignment/>
    </xf>
    <xf numFmtId="0" fontId="22" fillId="4" borderId="0" xfId="0" applyFont="1" applyFill="1" applyAlignment="1">
      <alignment/>
    </xf>
    <xf numFmtId="0" fontId="23" fillId="4" borderId="0" xfId="18" applyFill="1" applyAlignment="1" applyProtection="1">
      <alignment/>
      <protection locked="0"/>
    </xf>
    <xf numFmtId="0" fontId="3" fillId="4" borderId="1" xfId="0" applyFont="1" applyFill="1" applyBorder="1" applyAlignment="1" applyProtection="1">
      <alignment horizontal="center" wrapText="1"/>
      <protection/>
    </xf>
    <xf numFmtId="0" fontId="3" fillId="4" borderId="2" xfId="0" applyFont="1" applyFill="1" applyBorder="1" applyAlignment="1" applyProtection="1">
      <alignment horizontal="center" wrapText="1"/>
      <protection/>
    </xf>
    <xf numFmtId="0" fontId="3" fillId="4" borderId="3" xfId="0" applyFont="1" applyFill="1" applyBorder="1" applyAlignment="1" applyProtection="1">
      <alignment horizontal="center" wrapText="1"/>
      <protection/>
    </xf>
    <xf numFmtId="0" fontId="6" fillId="4" borderId="0" xfId="0" applyFont="1" applyFill="1" applyAlignment="1">
      <alignment/>
    </xf>
    <xf numFmtId="0" fontId="6" fillId="4" borderId="0" xfId="0" applyFont="1" applyFill="1" applyBorder="1" applyAlignment="1">
      <alignment/>
    </xf>
    <xf numFmtId="0" fontId="21" fillId="4" borderId="0" xfId="0" applyFont="1" applyFill="1" applyAlignment="1">
      <alignment/>
    </xf>
    <xf numFmtId="0" fontId="3" fillId="4" borderId="0" xfId="0" applyFont="1" applyFill="1" applyAlignment="1">
      <alignment/>
    </xf>
    <xf numFmtId="0" fontId="0" fillId="4" borderId="3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 xfId="0" applyFill="1" applyBorder="1" applyAlignment="1">
      <alignment horizontal="center" vertical="center" wrapText="1"/>
    </xf>
    <xf numFmtId="2" fontId="26" fillId="4" borderId="12" xfId="0" applyNumberFormat="1" applyFont="1" applyFill="1" applyBorder="1" applyAlignment="1">
      <alignment/>
    </xf>
    <xf numFmtId="0" fontId="26" fillId="4" borderId="0" xfId="0" applyFont="1" applyFill="1" applyAlignment="1">
      <alignment/>
    </xf>
    <xf numFmtId="0" fontId="27" fillId="4" borderId="0" xfId="0" applyFont="1" applyFill="1" applyAlignment="1">
      <alignment/>
    </xf>
    <xf numFmtId="2" fontId="17" fillId="6" borderId="14" xfId="0" applyNumberFormat="1" applyFont="1" applyFill="1" applyBorder="1" applyAlignment="1">
      <alignment/>
    </xf>
    <xf numFmtId="0" fontId="13" fillId="4" borderId="0" xfId="0" applyFont="1" applyFill="1" applyBorder="1" applyAlignment="1">
      <alignment horizontal="center"/>
    </xf>
    <xf numFmtId="2" fontId="13" fillId="4" borderId="0" xfId="0" applyNumberFormat="1" applyFont="1" applyFill="1" applyBorder="1" applyAlignment="1">
      <alignment horizontal="center"/>
    </xf>
    <xf numFmtId="169" fontId="0" fillId="4" borderId="0" xfId="0" applyNumberFormat="1" applyFill="1" applyBorder="1" applyAlignment="1">
      <alignment horizontal="center"/>
    </xf>
    <xf numFmtId="0" fontId="23" fillId="0" borderId="0" xfId="18" applyAlignment="1">
      <alignment/>
    </xf>
    <xf numFmtId="0" fontId="6" fillId="4" borderId="0" xfId="0" applyFont="1" applyFill="1" applyAlignment="1">
      <alignment horizontal="left" vertical="top" wrapText="1"/>
    </xf>
    <xf numFmtId="0" fontId="6" fillId="4" borderId="26" xfId="0" applyFont="1" applyFill="1" applyBorder="1" applyAlignment="1">
      <alignment horizontal="left" vertical="top" wrapText="1"/>
    </xf>
    <xf numFmtId="0" fontId="21" fillId="4" borderId="0" xfId="0" applyFont="1" applyFill="1" applyAlignment="1">
      <alignment horizontal="center"/>
    </xf>
    <xf numFmtId="0" fontId="3" fillId="4" borderId="0" xfId="0" applyFont="1" applyFill="1" applyAlignment="1">
      <alignment horizontal="center"/>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4" xfId="0" applyFont="1" applyFill="1" applyBorder="1" applyAlignment="1">
      <alignment horizontal="center" vertical="center"/>
    </xf>
    <xf numFmtId="0" fontId="12" fillId="4" borderId="30" xfId="0" applyFont="1" applyFill="1" applyBorder="1" applyAlignment="1" applyProtection="1">
      <alignment horizontal="center"/>
      <protection/>
    </xf>
    <xf numFmtId="0" fontId="12" fillId="4" borderId="35" xfId="0" applyFont="1" applyFill="1" applyBorder="1" applyAlignment="1" applyProtection="1">
      <alignment horizontal="center"/>
      <protection/>
    </xf>
    <xf numFmtId="0" fontId="12" fillId="4" borderId="36" xfId="0" applyFont="1" applyFill="1" applyBorder="1" applyAlignment="1" applyProtection="1">
      <alignment horizontal="center"/>
      <protection/>
    </xf>
    <xf numFmtId="2" fontId="0" fillId="4" borderId="0" xfId="0" applyNumberFormat="1" applyFill="1" applyAlignment="1">
      <alignment horizontal="center" vertical="center" wrapText="1"/>
    </xf>
    <xf numFmtId="2" fontId="0" fillId="4" borderId="0" xfId="0" applyNumberFormat="1" applyFill="1" applyAlignment="1">
      <alignment horizontal="left"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border/>
    </dxf>
    <dxf>
      <fill>
        <patternFill>
          <bgColor rgb="FFFF99CC"/>
        </patternFill>
      </fill>
      <border/>
    </dxf>
    <dxf>
      <font>
        <b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Blattform (Zuschnitt)</a:t>
            </a:r>
          </a:p>
        </c:rich>
      </c:tx>
      <c:layout/>
      <c:spPr>
        <a:noFill/>
        <a:ln>
          <a:noFill/>
        </a:ln>
      </c:spPr>
    </c:title>
    <c:plotArea>
      <c:layout>
        <c:manualLayout>
          <c:xMode val="edge"/>
          <c:yMode val="edge"/>
          <c:x val="0.045"/>
          <c:y val="0.05625"/>
          <c:w val="0.955"/>
          <c:h val="0.91425"/>
        </c:manualLayout>
      </c:layout>
      <c:scatterChart>
        <c:scatterStyle val="smoothMarker"/>
        <c:varyColors val="0"/>
        <c:ser>
          <c:idx val="0"/>
          <c:order val="0"/>
          <c:tx>
            <c:strRef>
              <c:f>Blattform!$I$4</c:f>
              <c:strCache>
                <c:ptCount val="1"/>
                <c:pt idx="0">
                  <c:v>Hinterkante [mm]</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Blattform!$H$9:$H$25</c:f>
              <c:numCache>
                <c:ptCount val="17"/>
                <c:pt idx="0">
                  <c:v>150.00000000000003</c:v>
                </c:pt>
                <c:pt idx="1">
                  <c:v>187.5</c:v>
                </c:pt>
                <c:pt idx="2">
                  <c:v>224.99999999999997</c:v>
                </c:pt>
                <c:pt idx="3">
                  <c:v>262.49999999999994</c:v>
                </c:pt>
                <c:pt idx="4">
                  <c:v>300.00000000000006</c:v>
                </c:pt>
                <c:pt idx="5">
                  <c:v>337.5</c:v>
                </c:pt>
                <c:pt idx="6">
                  <c:v>375</c:v>
                </c:pt>
                <c:pt idx="7">
                  <c:v>412.50000000000006</c:v>
                </c:pt>
                <c:pt idx="8">
                  <c:v>449.99999999999994</c:v>
                </c:pt>
                <c:pt idx="9">
                  <c:v>487.50000000000006</c:v>
                </c:pt>
                <c:pt idx="10">
                  <c:v>524.9999999999999</c:v>
                </c:pt>
                <c:pt idx="11">
                  <c:v>562.5</c:v>
                </c:pt>
                <c:pt idx="12">
                  <c:v>600.0000000000001</c:v>
                </c:pt>
                <c:pt idx="13">
                  <c:v>637.5</c:v>
                </c:pt>
                <c:pt idx="14">
                  <c:v>675</c:v>
                </c:pt>
                <c:pt idx="15">
                  <c:v>712.4999999999999</c:v>
                </c:pt>
                <c:pt idx="16">
                  <c:v>750</c:v>
                </c:pt>
              </c:numCache>
            </c:numRef>
          </c:xVal>
          <c:yVal>
            <c:numRef>
              <c:f>Blattform!$I$9:$I$25</c:f>
              <c:numCache>
                <c:ptCount val="17"/>
                <c:pt idx="0">
                  <c:v>-27.270769562411395</c:v>
                </c:pt>
                <c:pt idx="1">
                  <c:v>-27.270769562411395</c:v>
                </c:pt>
                <c:pt idx="2">
                  <c:v>-27.270769562411395</c:v>
                </c:pt>
                <c:pt idx="3">
                  <c:v>-27.270769562411395</c:v>
                </c:pt>
                <c:pt idx="4">
                  <c:v>-27.270769562411395</c:v>
                </c:pt>
                <c:pt idx="5">
                  <c:v>-27.270769562411395</c:v>
                </c:pt>
                <c:pt idx="6">
                  <c:v>-27.270769562411395</c:v>
                </c:pt>
                <c:pt idx="7">
                  <c:v>-27.270769562411395</c:v>
                </c:pt>
                <c:pt idx="8">
                  <c:v>-27.270769562411395</c:v>
                </c:pt>
                <c:pt idx="9">
                  <c:v>-27.270769562411395</c:v>
                </c:pt>
                <c:pt idx="10">
                  <c:v>-27.270769562411395</c:v>
                </c:pt>
                <c:pt idx="11">
                  <c:v>-27.270769562411395</c:v>
                </c:pt>
                <c:pt idx="12">
                  <c:v>-27.270769562411395</c:v>
                </c:pt>
                <c:pt idx="13">
                  <c:v>-27.270769562411395</c:v>
                </c:pt>
                <c:pt idx="14">
                  <c:v>-27.270769562411395</c:v>
                </c:pt>
                <c:pt idx="15">
                  <c:v>-27.270769562411395</c:v>
                </c:pt>
                <c:pt idx="16">
                  <c:v>-27.270769562411395</c:v>
                </c:pt>
              </c:numCache>
            </c:numRef>
          </c:yVal>
          <c:smooth val="1"/>
        </c:ser>
        <c:ser>
          <c:idx val="1"/>
          <c:order val="1"/>
          <c:tx>
            <c:strRef>
              <c:f>Blattform!$J$4</c:f>
              <c:strCache>
                <c:ptCount val="1"/>
                <c:pt idx="0">
                  <c:v>Vorderkante [mm]</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Blattform!$H$9:$H$26</c:f>
              <c:numCache>
                <c:ptCount val="18"/>
                <c:pt idx="0">
                  <c:v>150.00000000000003</c:v>
                </c:pt>
                <c:pt idx="1">
                  <c:v>187.5</c:v>
                </c:pt>
                <c:pt idx="2">
                  <c:v>224.99999999999997</c:v>
                </c:pt>
                <c:pt idx="3">
                  <c:v>262.49999999999994</c:v>
                </c:pt>
                <c:pt idx="4">
                  <c:v>300.00000000000006</c:v>
                </c:pt>
                <c:pt idx="5">
                  <c:v>337.5</c:v>
                </c:pt>
                <c:pt idx="6">
                  <c:v>375</c:v>
                </c:pt>
                <c:pt idx="7">
                  <c:v>412.50000000000006</c:v>
                </c:pt>
                <c:pt idx="8">
                  <c:v>449.99999999999994</c:v>
                </c:pt>
                <c:pt idx="9">
                  <c:v>487.50000000000006</c:v>
                </c:pt>
                <c:pt idx="10">
                  <c:v>524.9999999999999</c:v>
                </c:pt>
                <c:pt idx="11">
                  <c:v>562.5</c:v>
                </c:pt>
                <c:pt idx="12">
                  <c:v>600.0000000000001</c:v>
                </c:pt>
                <c:pt idx="13">
                  <c:v>637.5</c:v>
                </c:pt>
                <c:pt idx="14">
                  <c:v>675</c:v>
                </c:pt>
                <c:pt idx="15">
                  <c:v>712.4999999999999</c:v>
                </c:pt>
                <c:pt idx="16">
                  <c:v>750</c:v>
                </c:pt>
                <c:pt idx="17">
                  <c:v>750</c:v>
                </c:pt>
              </c:numCache>
            </c:numRef>
          </c:xVal>
          <c:yVal>
            <c:numRef>
              <c:f>Blattform!$J$9:$J$26</c:f>
              <c:numCache>
                <c:ptCount val="18"/>
                <c:pt idx="0">
                  <c:v>214.79213387714557</c:v>
                </c:pt>
                <c:pt idx="1">
                  <c:v>186.96746035787632</c:v>
                </c:pt>
                <c:pt idx="2">
                  <c:v>164.5511739950618</c:v>
                </c:pt>
                <c:pt idx="3">
                  <c:v>146.37852788989693</c:v>
                </c:pt>
                <c:pt idx="4">
                  <c:v>131.49540505659309</c:v>
                </c:pt>
                <c:pt idx="5">
                  <c:v>119.16442890235582</c:v>
                </c:pt>
                <c:pt idx="6">
                  <c:v>108.82807763259059</c:v>
                </c:pt>
                <c:pt idx="7">
                  <c:v>100.06671797924986</c:v>
                </c:pt>
                <c:pt idx="8">
                  <c:v>92.5632002792606</c:v>
                </c:pt>
                <c:pt idx="9">
                  <c:v>86.07581911700966</c:v>
                </c:pt>
                <c:pt idx="10">
                  <c:v>80.41846187569716</c:v>
                </c:pt>
                <c:pt idx="11">
                  <c:v>75.44623978646258</c:v>
                </c:pt>
                <c:pt idx="12">
                  <c:v>71.04510791330723</c:v>
                </c:pt>
                <c:pt idx="13">
                  <c:v>67.1243344453525</c:v>
                </c:pt>
                <c:pt idx="14">
                  <c:v>63.61099570094127</c:v>
                </c:pt>
                <c:pt idx="15">
                  <c:v>60.44591474984678</c:v>
                </c:pt>
                <c:pt idx="16">
                  <c:v>57.58063520465665</c:v>
                </c:pt>
                <c:pt idx="17">
                  <c:v>-27.270769562411395</c:v>
                </c:pt>
              </c:numCache>
            </c:numRef>
          </c:yVal>
          <c:smooth val="1"/>
        </c:ser>
        <c:axId val="47484733"/>
        <c:axId val="57655298"/>
      </c:scatterChart>
      <c:valAx>
        <c:axId val="47484733"/>
        <c:scaling>
          <c:orientation val="minMax"/>
          <c:min val="0"/>
        </c:scaling>
        <c:axPos val="b"/>
        <c:title>
          <c:tx>
            <c:rich>
              <a:bodyPr vert="horz" rot="0" anchor="ctr"/>
              <a:lstStyle/>
              <a:p>
                <a:pPr algn="ctr">
                  <a:defRPr/>
                </a:pPr>
                <a:r>
                  <a:rPr lang="en-US" cap="none" sz="875" b="1" i="0" u="none" baseline="0">
                    <a:latin typeface="Arial"/>
                    <a:ea typeface="Arial"/>
                    <a:cs typeface="Arial"/>
                  </a:rPr>
                  <a:t>Radius [mm]</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57655298"/>
        <c:crosses val="autoZero"/>
        <c:crossBetween val="midCat"/>
        <c:dispUnits/>
      </c:valAx>
      <c:valAx>
        <c:axId val="57655298"/>
        <c:scaling>
          <c:orientation val="minMax"/>
        </c:scaling>
        <c:axPos val="l"/>
        <c:title>
          <c:tx>
            <c:rich>
              <a:bodyPr vert="horz" rot="-5400000" anchor="ctr"/>
              <a:lstStyle/>
              <a:p>
                <a:pPr algn="ctr">
                  <a:defRPr/>
                </a:pPr>
                <a:r>
                  <a:rPr lang="en-US" cap="none" sz="875" b="1" i="0" u="none" baseline="0">
                    <a:latin typeface="Arial"/>
                    <a:ea typeface="Arial"/>
                    <a:cs typeface="Arial"/>
                  </a:rPr>
                  <a:t>Blattiefe [mm]</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47484733"/>
        <c:crosses val="autoZero"/>
        <c:crossBetween val="midCat"/>
        <c:dispUnits/>
      </c:valAx>
      <c:spPr>
        <a:noFill/>
        <a:ln w="12700">
          <a:solidFill>
            <a:srgbClr val="808080"/>
          </a:solidFill>
        </a:ln>
      </c:spPr>
    </c:plotArea>
    <c:legend>
      <c:legendPos val="r"/>
      <c:layout>
        <c:manualLayout>
          <c:xMode val="edge"/>
          <c:yMode val="edge"/>
          <c:x val="0.78875"/>
          <c:y val="0.0885"/>
        </c:manualLayout>
      </c:layout>
      <c:overlay val="0"/>
    </c:legend>
    <c:plotVisOnly val="1"/>
    <c:dispBlanksAs val="gap"/>
    <c:showDLblsOverMax val="0"/>
  </c:chart>
  <c:spPr>
    <a:solidFill>
      <a:srgbClr val="FFFFCC"/>
    </a:solidFill>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65"/>
          <c:y val="0"/>
          <c:w val="0.84875"/>
          <c:h val="1"/>
        </c:manualLayout>
      </c:layout>
      <c:scatterChart>
        <c:scatterStyle val="line"/>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Auslegung!$Q$4:$Q$5</c:f>
              <c:numCache>
                <c:ptCount val="2"/>
                <c:pt idx="0">
                  <c:v>0</c:v>
                </c:pt>
                <c:pt idx="1">
                  <c:v>1</c:v>
                </c:pt>
              </c:numCache>
            </c:numRef>
          </c:xVal>
          <c:yVal>
            <c:numRef>
              <c:f>Auslegung!$R$4:$R$5</c:f>
              <c:numCache>
                <c:ptCount val="2"/>
                <c:pt idx="0">
                  <c:v>1.016988568623629</c:v>
                </c:pt>
                <c:pt idx="1">
                  <c:v>1.016988568623629</c:v>
                </c:pt>
              </c:numCache>
            </c:numRef>
          </c:yVal>
          <c:smooth val="0"/>
        </c:ser>
        <c:axId val="2801707"/>
        <c:axId val="58835848"/>
      </c:scatterChart>
      <c:valAx>
        <c:axId val="2801707"/>
        <c:scaling>
          <c:orientation val="minMax"/>
          <c:max val="1"/>
          <c:min val="0"/>
        </c:scaling>
        <c:axPos val="b"/>
        <c:delete val="1"/>
        <c:majorTickMark val="out"/>
        <c:minorTickMark val="none"/>
        <c:tickLblPos val="nextTo"/>
        <c:crossAx val="58835848"/>
        <c:crosses val="autoZero"/>
        <c:crossBetween val="midCat"/>
        <c:dispUnits/>
      </c:valAx>
      <c:valAx>
        <c:axId val="58835848"/>
        <c:scaling>
          <c:orientation val="minMax"/>
          <c:max val="1.5"/>
          <c:min val="0.5"/>
        </c:scaling>
        <c:axPos val="l"/>
        <c:delete val="1"/>
        <c:majorTickMark val="out"/>
        <c:minorTickMark val="none"/>
        <c:tickLblPos val="nextTo"/>
        <c:crossAx val="280170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05725"/>
          <c:w val="0.95"/>
          <c:h val="0.852"/>
        </c:manualLayout>
      </c:layout>
      <c:scatterChart>
        <c:scatterStyle val="smoothMarker"/>
        <c:varyColors val="0"/>
        <c:ser>
          <c:idx val="0"/>
          <c:order val="0"/>
          <c:tx>
            <c:strRef>
              <c:f>Anlaufmoment!$E$28</c:f>
              <c:strCache>
                <c:ptCount val="1"/>
                <c:pt idx="0">
                  <c:v>Ca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Anlaufmoment!$D$29:$D$38</c:f>
              <c:numCache>
                <c:ptCount val="10"/>
                <c:pt idx="0">
                  <c:v>0</c:v>
                </c:pt>
                <c:pt idx="1">
                  <c:v>0</c:v>
                </c:pt>
                <c:pt idx="2">
                  <c:v>0</c:v>
                </c:pt>
                <c:pt idx="3">
                  <c:v>0</c:v>
                </c:pt>
                <c:pt idx="4">
                  <c:v>0</c:v>
                </c:pt>
                <c:pt idx="5">
                  <c:v>0</c:v>
                </c:pt>
                <c:pt idx="6">
                  <c:v>0</c:v>
                </c:pt>
                <c:pt idx="7">
                  <c:v>0</c:v>
                </c:pt>
                <c:pt idx="8">
                  <c:v>0</c:v>
                </c:pt>
                <c:pt idx="9">
                  <c:v>0</c:v>
                </c:pt>
              </c:numCache>
            </c:numRef>
          </c:xVal>
          <c:yVal>
            <c:numRef>
              <c:f>Anlaufmoment!$E$29:$E$38</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Anlaufmoment!$F$28</c:f>
              <c:strCache>
                <c:ptCount val="1"/>
                <c:pt idx="0">
                  <c:v>cw</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Anlaufmoment!$D$29:$D$38</c:f>
              <c:numCache>
                <c:ptCount val="10"/>
                <c:pt idx="0">
                  <c:v>0</c:v>
                </c:pt>
                <c:pt idx="1">
                  <c:v>0</c:v>
                </c:pt>
                <c:pt idx="2">
                  <c:v>0</c:v>
                </c:pt>
                <c:pt idx="3">
                  <c:v>0</c:v>
                </c:pt>
                <c:pt idx="4">
                  <c:v>0</c:v>
                </c:pt>
                <c:pt idx="5">
                  <c:v>0</c:v>
                </c:pt>
                <c:pt idx="6">
                  <c:v>0</c:v>
                </c:pt>
                <c:pt idx="7">
                  <c:v>0</c:v>
                </c:pt>
                <c:pt idx="8">
                  <c:v>0</c:v>
                </c:pt>
                <c:pt idx="9">
                  <c:v>0</c:v>
                </c:pt>
              </c:numCache>
            </c:numRef>
          </c:xVal>
          <c:yVal>
            <c:numRef>
              <c:f>Anlaufmoment!$F$29:$F$38</c:f>
              <c:numCache>
                <c:ptCount val="10"/>
                <c:pt idx="0">
                  <c:v>0</c:v>
                </c:pt>
                <c:pt idx="1">
                  <c:v>0</c:v>
                </c:pt>
                <c:pt idx="2">
                  <c:v>0</c:v>
                </c:pt>
                <c:pt idx="3">
                  <c:v>0</c:v>
                </c:pt>
                <c:pt idx="4">
                  <c:v>0</c:v>
                </c:pt>
                <c:pt idx="5">
                  <c:v>0</c:v>
                </c:pt>
                <c:pt idx="6">
                  <c:v>0</c:v>
                </c:pt>
                <c:pt idx="7">
                  <c:v>0</c:v>
                </c:pt>
                <c:pt idx="8">
                  <c:v>0</c:v>
                </c:pt>
                <c:pt idx="9">
                  <c:v>0</c:v>
                </c:pt>
              </c:numCache>
            </c:numRef>
          </c:yVal>
          <c:smooth val="1"/>
        </c:ser>
        <c:ser>
          <c:idx val="2"/>
          <c:order val="2"/>
          <c:tx>
            <c:v>ca_aktuell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xVal>
            <c:numRef>
              <c:f>Anlaufmoment!$F$5:$F$20</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Anlaufmoment!$G$5:$G$20</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ser>
        <c:axId val="27593257"/>
        <c:axId val="42587486"/>
      </c:scatterChart>
      <c:valAx>
        <c:axId val="27593257"/>
        <c:scaling>
          <c:orientation val="minMax"/>
          <c:max val="90"/>
          <c:min val="0"/>
        </c:scaling>
        <c:axPos val="b"/>
        <c:title>
          <c:tx>
            <c:rich>
              <a:bodyPr vert="horz" rot="0" anchor="ctr"/>
              <a:lstStyle/>
              <a:p>
                <a:pPr algn="ctr">
                  <a:defRPr/>
                </a:pPr>
                <a:r>
                  <a:rPr lang="en-US" cap="none" sz="1125" b="1" i="0" u="none" baseline="0">
                    <a:latin typeface="Arial"/>
                    <a:ea typeface="Arial"/>
                    <a:cs typeface="Arial"/>
                  </a:rPr>
                  <a:t>Alpha / °</a:t>
                </a:r>
              </a:p>
            </c:rich>
          </c:tx>
          <c:layout>
            <c:manualLayout>
              <c:xMode val="factor"/>
              <c:yMode val="factor"/>
              <c:x val="0.00475"/>
              <c:y val="-0.001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2587486"/>
        <c:crosses val="autoZero"/>
        <c:crossBetween val="midCat"/>
        <c:dispUnits/>
        <c:majorUnit val="15"/>
      </c:valAx>
      <c:valAx>
        <c:axId val="42587486"/>
        <c:scaling>
          <c:orientation val="minMax"/>
          <c:min val="0"/>
        </c:scaling>
        <c:axPos val="l"/>
        <c:title>
          <c:tx>
            <c:rich>
              <a:bodyPr vert="horz" rot="-5400000" anchor="ctr"/>
              <a:lstStyle/>
              <a:p>
                <a:pPr algn="ctr">
                  <a:defRPr/>
                </a:pPr>
                <a:r>
                  <a:rPr lang="en-US" cap="none" sz="1125" b="1" i="0" u="none" baseline="0">
                    <a:latin typeface="Arial"/>
                    <a:ea typeface="Arial"/>
                    <a:cs typeface="Arial"/>
                  </a:rPr>
                  <a:t>Ca / -</a:t>
                </a:r>
              </a:p>
            </c:rich>
          </c:tx>
          <c:layout>
            <c:manualLayout>
              <c:xMode val="factor"/>
              <c:yMode val="factor"/>
              <c:x val="-0.009"/>
              <c:y val="0.0025"/>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200" b="0" i="0" u="none" baseline="0">
                <a:latin typeface="Arial"/>
                <a:ea typeface="Arial"/>
                <a:cs typeface="Arial"/>
              </a:defRPr>
            </a:pPr>
          </a:p>
        </c:txPr>
        <c:crossAx val="27593257"/>
        <c:crosses val="autoZero"/>
        <c:crossBetween val="midCat"/>
        <c:dispUnits/>
      </c:valAx>
      <c:spPr>
        <a:noFill/>
        <a:ln w="12700">
          <a:solidFill>
            <a:srgbClr val="808080"/>
          </a:solidFill>
        </a:ln>
      </c:spPr>
    </c:plotArea>
    <c:legend>
      <c:legendPos val="r"/>
      <c:layout>
        <c:manualLayout>
          <c:xMode val="edge"/>
          <c:yMode val="edge"/>
          <c:x val="0.5085"/>
          <c:y val="0"/>
          <c:w val="0.2385"/>
          <c:h val="0.2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Flächendichte Sigma</a:t>
            </a:r>
          </a:p>
        </c:rich>
      </c:tx>
      <c:layout/>
      <c:spPr>
        <a:noFill/>
        <a:ln>
          <a:noFill/>
        </a:ln>
      </c:spPr>
    </c:title>
    <c:plotArea>
      <c:layout>
        <c:manualLayout>
          <c:xMode val="edge"/>
          <c:yMode val="edge"/>
          <c:x val="0.0585"/>
          <c:y val="0.07375"/>
          <c:w val="0.9415"/>
          <c:h val="0.852"/>
        </c:manualLayout>
      </c:layout>
      <c:scatterChart>
        <c:scatterStyle val="lineMarker"/>
        <c:varyColors val="0"/>
        <c:ser>
          <c:idx val="0"/>
          <c:order val="0"/>
          <c:tx>
            <c:strRef>
              <c:f>Flächendichte!$B$2</c:f>
              <c:strCache>
                <c:ptCount val="1"/>
                <c:pt idx="0">
                  <c:v>Sigma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trendline>
            <c:trendlineType val="power"/>
            <c:dispEq val="1"/>
            <c:dispRSqr val="0"/>
            <c:trendlineLbl>
              <c:layout>
                <c:manualLayout>
                  <c:x val="0"/>
                  <c:y val="0"/>
                </c:manualLayout>
              </c:layout>
              <c:numFmt formatCode="General"/>
            </c:trendlineLbl>
          </c:trendline>
          <c:xVal>
            <c:numRef>
              <c:f>Flächendichte!$A$3:$A$16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Flächendichte!$B$3:$B$16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ser>
          <c:idx val="1"/>
          <c:order val="1"/>
          <c:tx>
            <c:v>Aktuell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Flächendichte!$C$22</c:f>
              <c:numCache>
                <c:ptCount val="1"/>
                <c:pt idx="0">
                  <c:v>0</c:v>
                </c:pt>
              </c:numCache>
            </c:numRef>
          </c:xVal>
          <c:yVal>
            <c:numRef>
              <c:f>Flächendichte!$D$22</c:f>
              <c:numCache>
                <c:ptCount val="1"/>
                <c:pt idx="0">
                  <c:v>0</c:v>
                </c:pt>
              </c:numCache>
            </c:numRef>
          </c:yVal>
          <c:smooth val="0"/>
        </c:ser>
        <c:axId val="21921975"/>
        <c:axId val="57708292"/>
      </c:scatterChart>
      <c:valAx>
        <c:axId val="21921975"/>
        <c:scaling>
          <c:orientation val="minMax"/>
        </c:scaling>
        <c:axPos val="b"/>
        <c:title>
          <c:tx>
            <c:rich>
              <a:bodyPr vert="horz" rot="0" anchor="ctr"/>
              <a:lstStyle/>
              <a:p>
                <a:pPr algn="ctr">
                  <a:defRPr/>
                </a:pPr>
                <a:r>
                  <a:rPr lang="en-US" cap="none" sz="1000" b="1" i="0" u="none" baseline="0">
                    <a:latin typeface="Arial"/>
                    <a:ea typeface="Arial"/>
                    <a:cs typeface="Arial"/>
                  </a:rPr>
                  <a:t>SLZ Lambda / -</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7708292"/>
        <c:crosses val="autoZero"/>
        <c:crossBetween val="midCat"/>
        <c:dispUnits/>
      </c:valAx>
      <c:valAx>
        <c:axId val="57708292"/>
        <c:scaling>
          <c:orientation val="minMax"/>
        </c:scaling>
        <c:axPos val="l"/>
        <c:title>
          <c:tx>
            <c:rich>
              <a:bodyPr vert="horz" rot="-5400000" anchor="ctr"/>
              <a:lstStyle/>
              <a:p>
                <a:pPr algn="ctr">
                  <a:defRPr/>
                </a:pPr>
                <a:r>
                  <a:rPr lang="en-US" cap="none" sz="1000" b="1" i="0" u="none" baseline="0">
                    <a:latin typeface="Arial"/>
                    <a:ea typeface="Arial"/>
                    <a:cs typeface="Arial"/>
                  </a:rPr>
                  <a:t>Flächendichte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1921975"/>
        <c:crosses val="autoZero"/>
        <c:crossBetween val="midCat"/>
        <c:dispUnits/>
      </c:valAx>
      <c:spPr>
        <a:noFill/>
        <a:ln w="12700">
          <a:solidFill>
            <a:srgbClr val="808080"/>
          </a:solidFill>
        </a:ln>
      </c:spPr>
    </c:plotArea>
    <c:legend>
      <c:legendPos val="r"/>
      <c:layout>
        <c:manualLayout>
          <c:xMode val="edge"/>
          <c:yMode val="edge"/>
          <c:x val="0.7755"/>
          <c:y val="0.1925"/>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xml" /><Relationship Id="rId3" Type="http://schemas.openxmlformats.org/officeDocument/2006/relationships/image" Target="../media/image10.emf" /><Relationship Id="rId4" Type="http://schemas.openxmlformats.org/officeDocument/2006/relationships/chart" Target="/xl/charts/chart2.xml" /><Relationship Id="rId5"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 Id="rId3" Type="http://schemas.openxmlformats.org/officeDocument/2006/relationships/image" Target="../media/image9.emf" /><Relationship Id="rId4" Type="http://schemas.openxmlformats.org/officeDocument/2006/relationships/image" Target="../media/image8.emf" /><Relationship Id="rId5"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114300</xdr:rowOff>
    </xdr:from>
    <xdr:to>
      <xdr:col>2</xdr:col>
      <xdr:colOff>66675</xdr:colOff>
      <xdr:row>2</xdr:row>
      <xdr:rowOff>133350</xdr:rowOff>
    </xdr:to>
    <xdr:pic>
      <xdr:nvPicPr>
        <xdr:cNvPr id="1" name="Picture 4"/>
        <xdr:cNvPicPr preferRelativeResize="1">
          <a:picLocks noChangeAspect="1"/>
        </xdr:cNvPicPr>
      </xdr:nvPicPr>
      <xdr:blipFill>
        <a:blip r:embed="rId1"/>
        <a:stretch>
          <a:fillRect/>
        </a:stretch>
      </xdr:blipFill>
      <xdr:spPr>
        <a:xfrm rot="19578596">
          <a:off x="219075" y="276225"/>
          <a:ext cx="1143000" cy="314325"/>
        </a:xfrm>
        <a:prstGeom prst="rect">
          <a:avLst/>
        </a:prstGeom>
        <a:noFill/>
        <a:ln w="9525" cmpd="sng">
          <a:noFill/>
        </a:ln>
      </xdr:spPr>
    </xdr:pic>
    <xdr:clientData/>
  </xdr:twoCellAnchor>
  <xdr:twoCellAnchor editAs="oneCell">
    <xdr:from>
      <xdr:col>8</xdr:col>
      <xdr:colOff>581025</xdr:colOff>
      <xdr:row>1</xdr:row>
      <xdr:rowOff>171450</xdr:rowOff>
    </xdr:from>
    <xdr:to>
      <xdr:col>9</xdr:col>
      <xdr:colOff>962025</xdr:colOff>
      <xdr:row>3</xdr:row>
      <xdr:rowOff>28575</xdr:rowOff>
    </xdr:to>
    <xdr:pic>
      <xdr:nvPicPr>
        <xdr:cNvPr id="2" name="Picture 5"/>
        <xdr:cNvPicPr preferRelativeResize="1">
          <a:picLocks noChangeAspect="1"/>
        </xdr:cNvPicPr>
      </xdr:nvPicPr>
      <xdr:blipFill>
        <a:blip r:embed="rId1"/>
        <a:stretch>
          <a:fillRect/>
        </a:stretch>
      </xdr:blipFill>
      <xdr:spPr>
        <a:xfrm rot="2070511">
          <a:off x="6381750" y="333375"/>
          <a:ext cx="114300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17</xdr:row>
      <xdr:rowOff>0</xdr:rowOff>
    </xdr:from>
    <xdr:to>
      <xdr:col>11</xdr:col>
      <xdr:colOff>238125</xdr:colOff>
      <xdr:row>31</xdr:row>
      <xdr:rowOff>152400</xdr:rowOff>
    </xdr:to>
    <xdr:grpSp>
      <xdr:nvGrpSpPr>
        <xdr:cNvPr id="1" name="Group 7"/>
        <xdr:cNvGrpSpPr>
          <a:grpSpLocks/>
        </xdr:cNvGrpSpPr>
      </xdr:nvGrpSpPr>
      <xdr:grpSpPr>
        <a:xfrm>
          <a:off x="8077200" y="2924175"/>
          <a:ext cx="552450" cy="2781300"/>
          <a:chOff x="780" y="223"/>
          <a:chExt cx="58" cy="254"/>
        </a:xfrm>
        <a:solidFill>
          <a:srgbClr val="FFFFFF"/>
        </a:solidFill>
      </xdr:grpSpPr>
      <xdr:pic>
        <xdr:nvPicPr>
          <xdr:cNvPr id="2" name="Picture 5"/>
          <xdr:cNvPicPr preferRelativeResize="1">
            <a:picLocks noChangeAspect="1"/>
          </xdr:cNvPicPr>
        </xdr:nvPicPr>
        <xdr:blipFill>
          <a:blip r:embed="rId1"/>
          <a:stretch>
            <a:fillRect/>
          </a:stretch>
        </xdr:blipFill>
        <xdr:spPr>
          <a:xfrm>
            <a:off x="780" y="348"/>
            <a:ext cx="58" cy="129"/>
          </a:xfrm>
          <a:prstGeom prst="rect">
            <a:avLst/>
          </a:prstGeom>
          <a:noFill/>
          <a:ln w="9525" cmpd="sng">
            <a:noFill/>
          </a:ln>
        </xdr:spPr>
      </xdr:pic>
      <xdr:pic>
        <xdr:nvPicPr>
          <xdr:cNvPr id="3" name="Picture 6"/>
          <xdr:cNvPicPr preferRelativeResize="1">
            <a:picLocks noChangeAspect="1"/>
          </xdr:cNvPicPr>
        </xdr:nvPicPr>
        <xdr:blipFill>
          <a:blip r:embed="rId1"/>
          <a:stretch>
            <a:fillRect/>
          </a:stretch>
        </xdr:blipFill>
        <xdr:spPr>
          <a:xfrm rot="10800000">
            <a:off x="780" y="223"/>
            <a:ext cx="58" cy="129"/>
          </a:xfrm>
          <a:prstGeom prst="rect">
            <a:avLst/>
          </a:prstGeom>
          <a:noFill/>
          <a:ln w="9525" cmpd="sng">
            <a:noFill/>
          </a:ln>
        </xdr:spPr>
      </xdr:pic>
    </xdr:grpSp>
    <xdr:clientData/>
  </xdr:twoCellAnchor>
  <xdr:twoCellAnchor>
    <xdr:from>
      <xdr:col>0</xdr:col>
      <xdr:colOff>123825</xdr:colOff>
      <xdr:row>14</xdr:row>
      <xdr:rowOff>28575</xdr:rowOff>
    </xdr:from>
    <xdr:to>
      <xdr:col>8</xdr:col>
      <xdr:colOff>1171575</xdr:colOff>
      <xdr:row>34</xdr:row>
      <xdr:rowOff>9525</xdr:rowOff>
    </xdr:to>
    <xdr:graphicFrame>
      <xdr:nvGraphicFramePr>
        <xdr:cNvPr id="4" name="Chart 1"/>
        <xdr:cNvGraphicFramePr/>
      </xdr:nvGraphicFramePr>
      <xdr:xfrm>
        <a:off x="123825" y="2466975"/>
        <a:ext cx="6848475" cy="3581400"/>
      </xdr:xfrm>
      <a:graphic>
        <a:graphicData uri="http://schemas.openxmlformats.org/drawingml/2006/chart">
          <c:chart xmlns:c="http://schemas.openxmlformats.org/drawingml/2006/chart" r:id="rId2"/>
        </a:graphicData>
      </a:graphic>
    </xdr:graphicFrame>
    <xdr:clientData fLocksWithSheet="0"/>
  </xdr:twoCellAnchor>
  <xdr:twoCellAnchor editAs="oneCell">
    <xdr:from>
      <xdr:col>9</xdr:col>
      <xdr:colOff>152400</xdr:colOff>
      <xdr:row>19</xdr:row>
      <xdr:rowOff>152400</xdr:rowOff>
    </xdr:from>
    <xdr:to>
      <xdr:col>9</xdr:col>
      <xdr:colOff>695325</xdr:colOff>
      <xdr:row>24</xdr:row>
      <xdr:rowOff>9525</xdr:rowOff>
    </xdr:to>
    <xdr:pic>
      <xdr:nvPicPr>
        <xdr:cNvPr id="5" name="SpinButton1"/>
        <xdr:cNvPicPr preferRelativeResize="1">
          <a:picLocks noChangeAspect="1"/>
        </xdr:cNvPicPr>
      </xdr:nvPicPr>
      <xdr:blipFill>
        <a:blip r:embed="rId3"/>
        <a:stretch>
          <a:fillRect/>
        </a:stretch>
      </xdr:blipFill>
      <xdr:spPr>
        <a:xfrm>
          <a:off x="7305675" y="3400425"/>
          <a:ext cx="542925" cy="990600"/>
        </a:xfrm>
        <a:prstGeom prst="rect">
          <a:avLst/>
        </a:prstGeom>
        <a:noFill/>
        <a:ln w="9525" cmpd="sng">
          <a:noFill/>
        </a:ln>
      </xdr:spPr>
    </xdr:pic>
    <xdr:clientData fLocksWithSheet="0"/>
  </xdr:twoCellAnchor>
  <xdr:twoCellAnchor>
    <xdr:from>
      <xdr:col>10</xdr:col>
      <xdr:colOff>38100</xdr:colOff>
      <xdr:row>16</xdr:row>
      <xdr:rowOff>114300</xdr:rowOff>
    </xdr:from>
    <xdr:to>
      <xdr:col>11</xdr:col>
      <xdr:colOff>285750</xdr:colOff>
      <xdr:row>32</xdr:row>
      <xdr:rowOff>0</xdr:rowOff>
    </xdr:to>
    <xdr:graphicFrame>
      <xdr:nvGraphicFramePr>
        <xdr:cNvPr id="6" name="Chart 4"/>
        <xdr:cNvGraphicFramePr/>
      </xdr:nvGraphicFramePr>
      <xdr:xfrm>
        <a:off x="7953375" y="2876550"/>
        <a:ext cx="723900" cy="2838450"/>
      </xdr:xfrm>
      <a:graphic>
        <a:graphicData uri="http://schemas.openxmlformats.org/drawingml/2006/chart">
          <c:chart xmlns:c="http://schemas.openxmlformats.org/drawingml/2006/chart" r:id="rId4"/>
        </a:graphicData>
      </a:graphic>
    </xdr:graphicFrame>
    <xdr:clientData/>
  </xdr:twoCellAnchor>
  <xdr:twoCellAnchor>
    <xdr:from>
      <xdr:col>11</xdr:col>
      <xdr:colOff>342900</xdr:colOff>
      <xdr:row>17</xdr:row>
      <xdr:rowOff>104775</xdr:rowOff>
    </xdr:from>
    <xdr:to>
      <xdr:col>11</xdr:col>
      <xdr:colOff>561975</xdr:colOff>
      <xdr:row>17</xdr:row>
      <xdr:rowOff>104775</xdr:rowOff>
    </xdr:to>
    <xdr:sp>
      <xdr:nvSpPr>
        <xdr:cNvPr id="7" name="Line 10"/>
        <xdr:cNvSpPr>
          <a:spLocks/>
        </xdr:cNvSpPr>
      </xdr:nvSpPr>
      <xdr:spPr>
        <a:xfrm flipH="1">
          <a:off x="8734425" y="30289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342900</xdr:colOff>
      <xdr:row>24</xdr:row>
      <xdr:rowOff>104775</xdr:rowOff>
    </xdr:from>
    <xdr:to>
      <xdr:col>11</xdr:col>
      <xdr:colOff>561975</xdr:colOff>
      <xdr:row>24</xdr:row>
      <xdr:rowOff>104775</xdr:rowOff>
    </xdr:to>
    <xdr:sp>
      <xdr:nvSpPr>
        <xdr:cNvPr id="8" name="Line 13"/>
        <xdr:cNvSpPr>
          <a:spLocks/>
        </xdr:cNvSpPr>
      </xdr:nvSpPr>
      <xdr:spPr>
        <a:xfrm flipH="1">
          <a:off x="8734425" y="44862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333375</xdr:colOff>
      <xdr:row>31</xdr:row>
      <xdr:rowOff>85725</xdr:rowOff>
    </xdr:from>
    <xdr:to>
      <xdr:col>11</xdr:col>
      <xdr:colOff>552450</xdr:colOff>
      <xdr:row>31</xdr:row>
      <xdr:rowOff>85725</xdr:rowOff>
    </xdr:to>
    <xdr:sp>
      <xdr:nvSpPr>
        <xdr:cNvPr id="9" name="Line 16"/>
        <xdr:cNvSpPr>
          <a:spLocks/>
        </xdr:cNvSpPr>
      </xdr:nvSpPr>
      <xdr:spPr>
        <a:xfrm flipH="1">
          <a:off x="8724900" y="563880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95250</xdr:colOff>
      <xdr:row>0</xdr:row>
      <xdr:rowOff>66675</xdr:rowOff>
    </xdr:from>
    <xdr:to>
      <xdr:col>12</xdr:col>
      <xdr:colOff>723900</xdr:colOff>
      <xdr:row>2</xdr:row>
      <xdr:rowOff>85725</xdr:rowOff>
    </xdr:to>
    <xdr:pic>
      <xdr:nvPicPr>
        <xdr:cNvPr id="10" name="Picture 20"/>
        <xdr:cNvPicPr preferRelativeResize="1">
          <a:picLocks noChangeAspect="1"/>
        </xdr:cNvPicPr>
      </xdr:nvPicPr>
      <xdr:blipFill>
        <a:blip r:embed="rId5"/>
        <a:stretch>
          <a:fillRect/>
        </a:stretch>
      </xdr:blipFill>
      <xdr:spPr>
        <a:xfrm>
          <a:off x="8010525" y="66675"/>
          <a:ext cx="1733550" cy="476250"/>
        </a:xfrm>
        <a:prstGeom prst="rect">
          <a:avLst/>
        </a:prstGeom>
        <a:noFill/>
        <a:ln w="9525" cmpd="sng">
          <a:noFill/>
        </a:ln>
      </xdr:spPr>
    </xdr:pic>
    <xdr:clientData/>
  </xdr:twoCellAnchor>
  <xdr:twoCellAnchor editAs="oneCell">
    <xdr:from>
      <xdr:col>1</xdr:col>
      <xdr:colOff>142875</xdr:colOff>
      <xdr:row>0</xdr:row>
      <xdr:rowOff>47625</xdr:rowOff>
    </xdr:from>
    <xdr:to>
      <xdr:col>3</xdr:col>
      <xdr:colOff>66675</xdr:colOff>
      <xdr:row>2</xdr:row>
      <xdr:rowOff>66675</xdr:rowOff>
    </xdr:to>
    <xdr:pic>
      <xdr:nvPicPr>
        <xdr:cNvPr id="11" name="Picture 21"/>
        <xdr:cNvPicPr preferRelativeResize="1">
          <a:picLocks noChangeAspect="1"/>
        </xdr:cNvPicPr>
      </xdr:nvPicPr>
      <xdr:blipFill>
        <a:blip r:embed="rId5"/>
        <a:stretch>
          <a:fillRect/>
        </a:stretch>
      </xdr:blipFill>
      <xdr:spPr>
        <a:xfrm>
          <a:off x="904875" y="47625"/>
          <a:ext cx="173355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28</xdr:row>
      <xdr:rowOff>95250</xdr:rowOff>
    </xdr:from>
    <xdr:to>
      <xdr:col>4</xdr:col>
      <xdr:colOff>571500</xdr:colOff>
      <xdr:row>47</xdr:row>
      <xdr:rowOff>19050</xdr:rowOff>
    </xdr:to>
    <xdr:pic>
      <xdr:nvPicPr>
        <xdr:cNvPr id="1" name="Picture 50"/>
        <xdr:cNvPicPr preferRelativeResize="1">
          <a:picLocks noChangeAspect="1"/>
        </xdr:cNvPicPr>
      </xdr:nvPicPr>
      <xdr:blipFill>
        <a:blip r:embed="rId1"/>
        <a:stretch>
          <a:fillRect/>
        </a:stretch>
      </xdr:blipFill>
      <xdr:spPr>
        <a:xfrm>
          <a:off x="219075" y="5019675"/>
          <a:ext cx="3400425" cy="3000375"/>
        </a:xfrm>
        <a:prstGeom prst="rect">
          <a:avLst/>
        </a:prstGeom>
        <a:noFill/>
        <a:ln w="9525" cmpd="sng">
          <a:solidFill>
            <a:srgbClr val="000000"/>
          </a:solidFill>
          <a:headEnd type="none"/>
          <a:tailEnd type="none"/>
        </a:ln>
      </xdr:spPr>
    </xdr:pic>
    <xdr:clientData/>
  </xdr:twoCellAnchor>
  <xdr:twoCellAnchor>
    <xdr:from>
      <xdr:col>10</xdr:col>
      <xdr:colOff>38100</xdr:colOff>
      <xdr:row>4</xdr:row>
      <xdr:rowOff>19050</xdr:rowOff>
    </xdr:from>
    <xdr:to>
      <xdr:col>10</xdr:col>
      <xdr:colOff>190500</xdr:colOff>
      <xdr:row>7</xdr:row>
      <xdr:rowOff>123825</xdr:rowOff>
    </xdr:to>
    <xdr:sp>
      <xdr:nvSpPr>
        <xdr:cNvPr id="2" name="AutoShape 51"/>
        <xdr:cNvSpPr>
          <a:spLocks/>
        </xdr:cNvSpPr>
      </xdr:nvSpPr>
      <xdr:spPr>
        <a:xfrm>
          <a:off x="7486650" y="1047750"/>
          <a:ext cx="15240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27</xdr:row>
      <xdr:rowOff>19050</xdr:rowOff>
    </xdr:from>
    <xdr:to>
      <xdr:col>7</xdr:col>
      <xdr:colOff>266700</xdr:colOff>
      <xdr:row>41</xdr:row>
      <xdr:rowOff>142875</xdr:rowOff>
    </xdr:to>
    <xdr:graphicFrame>
      <xdr:nvGraphicFramePr>
        <xdr:cNvPr id="1" name="Chart 1"/>
        <xdr:cNvGraphicFramePr/>
      </xdr:nvGraphicFramePr>
      <xdr:xfrm>
        <a:off x="2590800" y="4476750"/>
        <a:ext cx="4038600" cy="2390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0</xdr:row>
      <xdr:rowOff>133350</xdr:rowOff>
    </xdr:from>
    <xdr:to>
      <xdr:col>12</xdr:col>
      <xdr:colOff>133350</xdr:colOff>
      <xdr:row>26</xdr:row>
      <xdr:rowOff>85725</xdr:rowOff>
    </xdr:to>
    <xdr:graphicFrame>
      <xdr:nvGraphicFramePr>
        <xdr:cNvPr id="1" name="Chart 1"/>
        <xdr:cNvGraphicFramePr/>
      </xdr:nvGraphicFramePr>
      <xdr:xfrm>
        <a:off x="3486150" y="133350"/>
        <a:ext cx="5305425" cy="4191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therpower.com/images/scimages/4947/tsr.jpg"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oleObject" Target="../embeddings/oleObject_2_3.bin" /><Relationship Id="rId6" Type="http://schemas.openxmlformats.org/officeDocument/2006/relationships/oleObject" Target="../embeddings/oleObject_2_4.bin" /><Relationship Id="rId7" Type="http://schemas.openxmlformats.org/officeDocument/2006/relationships/vmlDrawing" Target="../drawings/vmlDrawing2.vml" /><Relationship Id="rId8" Type="http://schemas.openxmlformats.org/officeDocument/2006/relationships/drawing" Target="../drawings/drawing3.x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fieldlines.com/story/2006/3/23/233748/134"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5">
    <tabColor indexed="42"/>
  </sheetPr>
  <dimension ref="A2:N115"/>
  <sheetViews>
    <sheetView workbookViewId="0" topLeftCell="A1">
      <selection activeCell="B22" sqref="B22"/>
    </sheetView>
  </sheetViews>
  <sheetFormatPr defaultColWidth="11.421875" defaultRowHeight="12.75"/>
  <cols>
    <col min="1" max="1" width="8.00390625" style="42" customWidth="1"/>
    <col min="2" max="3" width="11.421875" style="42" customWidth="1"/>
    <col min="4" max="4" width="10.421875" style="42" customWidth="1"/>
    <col min="5" max="9" width="11.421875" style="42" customWidth="1"/>
    <col min="10" max="10" width="16.7109375" style="42" customWidth="1"/>
    <col min="11" max="16384" width="11.421875" style="42" customWidth="1"/>
  </cols>
  <sheetData>
    <row r="2" spans="1:14" ht="23.25">
      <c r="A2" s="174" t="s">
        <v>101</v>
      </c>
      <c r="B2" s="174"/>
      <c r="C2" s="174"/>
      <c r="D2" s="174"/>
      <c r="E2" s="174"/>
      <c r="F2" s="174"/>
      <c r="G2" s="174"/>
      <c r="H2" s="174"/>
      <c r="I2" s="174"/>
      <c r="J2" s="174"/>
      <c r="K2" s="159"/>
      <c r="L2" s="159"/>
      <c r="M2" s="159"/>
      <c r="N2" s="159"/>
    </row>
    <row r="3" spans="1:14" ht="12.75">
      <c r="A3" s="175" t="s">
        <v>102</v>
      </c>
      <c r="B3" s="175"/>
      <c r="C3" s="175"/>
      <c r="D3" s="175"/>
      <c r="E3" s="175"/>
      <c r="F3" s="175"/>
      <c r="G3" s="175"/>
      <c r="H3" s="175"/>
      <c r="I3" s="175"/>
      <c r="J3" s="175"/>
      <c r="K3" s="160"/>
      <c r="L3" s="160"/>
      <c r="M3" s="160"/>
      <c r="N3" s="160"/>
    </row>
    <row r="4" ht="12.75"/>
    <row r="5" spans="1:10" ht="15">
      <c r="A5" s="85"/>
      <c r="B5" s="85"/>
      <c r="C5" s="85"/>
      <c r="D5" s="85"/>
      <c r="E5" s="85"/>
      <c r="F5" s="85"/>
      <c r="G5" s="85"/>
      <c r="H5" s="85"/>
      <c r="I5" s="85"/>
      <c r="J5" s="85"/>
    </row>
    <row r="6" spans="1:10" ht="75" customHeight="1">
      <c r="A6" s="172" t="s">
        <v>125</v>
      </c>
      <c r="B6" s="172"/>
      <c r="C6" s="172"/>
      <c r="D6" s="172"/>
      <c r="E6" s="172"/>
      <c r="F6" s="172"/>
      <c r="G6" s="172"/>
      <c r="H6" s="172"/>
      <c r="I6" s="172"/>
      <c r="J6" s="172"/>
    </row>
    <row r="7" spans="1:10" ht="60" customHeight="1">
      <c r="A7" s="172" t="s">
        <v>116</v>
      </c>
      <c r="B7" s="172"/>
      <c r="C7" s="172"/>
      <c r="D7" s="172"/>
      <c r="E7" s="172"/>
      <c r="F7" s="172"/>
      <c r="G7" s="172"/>
      <c r="H7" s="172"/>
      <c r="I7" s="172"/>
      <c r="J7" s="172"/>
    </row>
    <row r="8" spans="1:10" ht="56.25" customHeight="1">
      <c r="A8" s="173" t="s">
        <v>113</v>
      </c>
      <c r="B8" s="173"/>
      <c r="C8" s="173"/>
      <c r="D8" s="173"/>
      <c r="E8" s="173"/>
      <c r="F8" s="173"/>
      <c r="G8" s="173"/>
      <c r="H8" s="173"/>
      <c r="I8" s="173"/>
      <c r="J8" s="173"/>
    </row>
    <row r="9" spans="1:10" ht="15" customHeight="1">
      <c r="A9" s="85"/>
      <c r="B9" s="85"/>
      <c r="C9" s="85"/>
      <c r="D9" s="85"/>
      <c r="E9" s="85"/>
      <c r="F9" s="85"/>
      <c r="G9" s="85"/>
      <c r="H9" s="85"/>
      <c r="I9" s="85"/>
      <c r="J9" s="85"/>
    </row>
    <row r="10" spans="1:10" ht="15" customHeight="1">
      <c r="A10" s="85" t="s">
        <v>114</v>
      </c>
      <c r="B10" s="85"/>
      <c r="C10" s="85"/>
      <c r="D10" s="85"/>
      <c r="E10" s="85"/>
      <c r="F10" s="85"/>
      <c r="G10" s="85"/>
      <c r="H10" s="85"/>
      <c r="I10" s="85"/>
      <c r="J10" s="85"/>
    </row>
    <row r="11" spans="1:10" ht="15" customHeight="1">
      <c r="A11" s="85"/>
      <c r="B11" s="85"/>
      <c r="C11" s="85"/>
      <c r="D11" s="85"/>
      <c r="E11" s="85"/>
      <c r="F11" s="85"/>
      <c r="G11" s="85"/>
      <c r="H11" s="85"/>
      <c r="I11" s="85"/>
      <c r="J11" s="85"/>
    </row>
    <row r="12" spans="1:10" ht="15" customHeight="1">
      <c r="A12" s="85"/>
      <c r="B12" s="85" t="s">
        <v>121</v>
      </c>
      <c r="C12" s="85"/>
      <c r="D12" s="85"/>
      <c r="E12" s="85"/>
      <c r="F12" s="85"/>
      <c r="G12" s="85"/>
      <c r="H12" s="85"/>
      <c r="I12" s="85"/>
      <c r="J12" s="85"/>
    </row>
    <row r="13" spans="1:10" ht="15" customHeight="1">
      <c r="A13" s="85"/>
      <c r="B13" s="85"/>
      <c r="C13" s="85"/>
      <c r="D13" s="85"/>
      <c r="E13" s="85"/>
      <c r="F13" s="85"/>
      <c r="G13" s="85"/>
      <c r="H13" s="85"/>
      <c r="I13" s="85"/>
      <c r="J13" s="85"/>
    </row>
    <row r="14" spans="1:10" ht="15" customHeight="1">
      <c r="A14" s="85"/>
      <c r="B14" s="85" t="s">
        <v>122</v>
      </c>
      <c r="C14" s="85"/>
      <c r="D14" s="85"/>
      <c r="E14" s="85"/>
      <c r="F14" s="85"/>
      <c r="G14" s="85"/>
      <c r="H14" s="85"/>
      <c r="I14" s="85"/>
      <c r="J14" s="85"/>
    </row>
    <row r="15" spans="1:10" ht="15" customHeight="1">
      <c r="A15" s="85"/>
      <c r="B15" s="85"/>
      <c r="C15" s="85"/>
      <c r="D15" s="85"/>
      <c r="E15" s="85"/>
      <c r="F15" s="85"/>
      <c r="G15" s="85"/>
      <c r="H15" s="85"/>
      <c r="I15" s="85"/>
      <c r="J15" s="85"/>
    </row>
    <row r="16" spans="1:10" ht="15" customHeight="1">
      <c r="A16" s="85"/>
      <c r="B16" s="85" t="s">
        <v>123</v>
      </c>
      <c r="C16" s="85"/>
      <c r="D16" s="85"/>
      <c r="E16" s="85"/>
      <c r="F16" s="85"/>
      <c r="G16" s="85"/>
      <c r="H16" s="85"/>
      <c r="I16" s="85"/>
      <c r="J16" s="85"/>
    </row>
    <row r="17" spans="1:10" ht="15" customHeight="1">
      <c r="A17" s="85"/>
      <c r="B17" s="85"/>
      <c r="C17" s="85"/>
      <c r="D17" s="85"/>
      <c r="E17" s="85"/>
      <c r="F17" s="85"/>
      <c r="G17" s="85"/>
      <c r="H17" s="85"/>
      <c r="I17" s="85"/>
      <c r="J17" s="85"/>
    </row>
    <row r="18" spans="1:10" ht="15" customHeight="1">
      <c r="A18" s="85"/>
      <c r="B18" s="85" t="s">
        <v>124</v>
      </c>
      <c r="C18" s="85"/>
      <c r="D18" s="85"/>
      <c r="E18" s="85"/>
      <c r="F18" s="85"/>
      <c r="G18" s="85"/>
      <c r="H18" s="85"/>
      <c r="I18" s="85"/>
      <c r="J18" s="85"/>
    </row>
    <row r="19" spans="1:10" ht="15" customHeight="1">
      <c r="A19" s="85"/>
      <c r="C19" s="85" t="s">
        <v>115</v>
      </c>
      <c r="D19" s="85"/>
      <c r="E19" s="85"/>
      <c r="F19" s="85"/>
      <c r="G19" s="85"/>
      <c r="H19" s="85"/>
      <c r="I19" s="85"/>
      <c r="J19" s="85"/>
    </row>
    <row r="20" spans="1:10" ht="15" customHeight="1">
      <c r="A20" s="85"/>
      <c r="C20" s="85"/>
      <c r="D20" s="85"/>
      <c r="E20" s="85"/>
      <c r="F20" s="85"/>
      <c r="G20" s="85"/>
      <c r="H20" s="85"/>
      <c r="I20" s="85"/>
      <c r="J20" s="85"/>
    </row>
    <row r="21" spans="1:10" ht="15" customHeight="1">
      <c r="A21" s="85"/>
      <c r="B21" s="85" t="s">
        <v>128</v>
      </c>
      <c r="C21" s="85"/>
      <c r="D21" s="85"/>
      <c r="E21" s="85"/>
      <c r="F21" s="85"/>
      <c r="G21" s="85"/>
      <c r="H21" s="85"/>
      <c r="I21" s="85"/>
      <c r="J21" s="85"/>
    </row>
    <row r="22" spans="1:10" ht="15" customHeight="1">
      <c r="A22" s="85"/>
      <c r="B22" s="85"/>
      <c r="C22" s="85" t="s">
        <v>118</v>
      </c>
      <c r="D22" s="85"/>
      <c r="E22" s="85"/>
      <c r="F22" s="85"/>
      <c r="G22" s="85"/>
      <c r="H22" s="85"/>
      <c r="I22" s="85"/>
      <c r="J22" s="85"/>
    </row>
    <row r="23" spans="1:10" ht="15" customHeight="1">
      <c r="A23" s="85"/>
      <c r="B23" s="85"/>
      <c r="C23" s="85"/>
      <c r="D23" s="85"/>
      <c r="E23" s="85"/>
      <c r="F23" s="85"/>
      <c r="G23" s="85"/>
      <c r="H23" s="85"/>
      <c r="I23" s="85"/>
      <c r="J23" s="85"/>
    </row>
    <row r="24" spans="1:10" ht="15" customHeight="1">
      <c r="A24" s="85"/>
      <c r="B24" s="85" t="s">
        <v>126</v>
      </c>
      <c r="C24" s="85"/>
      <c r="D24" s="85"/>
      <c r="E24" s="85"/>
      <c r="F24" s="85"/>
      <c r="G24" s="85"/>
      <c r="H24" s="85"/>
      <c r="I24" s="85"/>
      <c r="J24" s="85"/>
    </row>
    <row r="25" spans="1:10" ht="15" customHeight="1">
      <c r="A25" s="85"/>
      <c r="B25" s="85" t="s">
        <v>127</v>
      </c>
      <c r="C25" s="85"/>
      <c r="D25" s="85"/>
      <c r="E25" s="85"/>
      <c r="F25" s="85"/>
      <c r="G25" s="85"/>
      <c r="H25" s="85"/>
      <c r="I25" s="85"/>
      <c r="J25" s="85"/>
    </row>
    <row r="26" spans="1:10" ht="15" customHeight="1">
      <c r="A26" s="85"/>
      <c r="B26" s="85"/>
      <c r="C26" s="85"/>
      <c r="D26" s="85"/>
      <c r="E26" s="85"/>
      <c r="F26" s="85"/>
      <c r="G26" s="85"/>
      <c r="H26" s="85"/>
      <c r="I26" s="85"/>
      <c r="J26" s="85"/>
    </row>
    <row r="27" spans="1:10" ht="15">
      <c r="A27" s="85" t="s">
        <v>119</v>
      </c>
      <c r="B27" s="85"/>
      <c r="C27" s="85"/>
      <c r="D27" s="85"/>
      <c r="E27" s="85"/>
      <c r="F27" s="85"/>
      <c r="G27" s="85"/>
      <c r="H27" s="85"/>
      <c r="I27" s="85"/>
      <c r="J27" s="85"/>
    </row>
    <row r="28" spans="1:12" ht="15">
      <c r="A28" s="157"/>
      <c r="B28" s="157"/>
      <c r="C28" s="157"/>
      <c r="D28" s="157"/>
      <c r="E28" s="157"/>
      <c r="F28" s="157"/>
      <c r="G28" s="157"/>
      <c r="H28" s="157"/>
      <c r="I28" s="157"/>
      <c r="J28" s="157"/>
      <c r="K28" s="147"/>
      <c r="L28" s="147"/>
    </row>
    <row r="29" spans="1:12" ht="15">
      <c r="A29" s="157" t="s">
        <v>120</v>
      </c>
      <c r="B29" s="157"/>
      <c r="C29" s="157"/>
      <c r="D29" s="157"/>
      <c r="E29" s="157"/>
      <c r="F29" s="157"/>
      <c r="G29" s="157"/>
      <c r="H29" s="157"/>
      <c r="I29" s="157"/>
      <c r="J29" s="157"/>
      <c r="K29" s="147"/>
      <c r="L29" s="147"/>
    </row>
    <row r="30" spans="1:12" ht="15">
      <c r="A30" s="157"/>
      <c r="B30" s="157"/>
      <c r="C30" s="157"/>
      <c r="D30" s="157"/>
      <c r="E30" s="157"/>
      <c r="F30" s="157"/>
      <c r="G30" s="157"/>
      <c r="H30" s="157"/>
      <c r="I30" s="157"/>
      <c r="J30" s="157"/>
      <c r="K30" s="147"/>
      <c r="L30" s="147"/>
    </row>
    <row r="31" spans="1:12" ht="15">
      <c r="A31" s="157"/>
      <c r="B31" s="158"/>
      <c r="C31" s="157"/>
      <c r="D31" s="157"/>
      <c r="E31" s="157"/>
      <c r="F31" s="157"/>
      <c r="G31" s="157"/>
      <c r="H31" s="157"/>
      <c r="I31" s="157"/>
      <c r="J31" s="157"/>
      <c r="K31" s="147"/>
      <c r="L31" s="147"/>
    </row>
    <row r="32" spans="1:12" ht="15">
      <c r="A32" s="157"/>
      <c r="B32" s="157"/>
      <c r="C32" s="157"/>
      <c r="D32" s="157"/>
      <c r="E32" s="157"/>
      <c r="F32" s="157"/>
      <c r="G32" s="157"/>
      <c r="H32" s="157"/>
      <c r="I32" s="157"/>
      <c r="J32" s="157"/>
      <c r="K32" s="147"/>
      <c r="L32" s="147"/>
    </row>
    <row r="33" spans="1:12" ht="15">
      <c r="A33" s="157"/>
      <c r="B33" s="158"/>
      <c r="C33" s="157"/>
      <c r="D33" s="157"/>
      <c r="E33" s="157"/>
      <c r="F33" s="157"/>
      <c r="G33" s="157"/>
      <c r="H33" s="157"/>
      <c r="I33" s="157"/>
      <c r="J33" s="157"/>
      <c r="K33" s="147"/>
      <c r="L33" s="147"/>
    </row>
    <row r="34" spans="1:12" ht="15">
      <c r="A34" s="157"/>
      <c r="B34" s="157"/>
      <c r="C34" s="157"/>
      <c r="D34" s="157"/>
      <c r="E34" s="157"/>
      <c r="F34" s="157"/>
      <c r="G34" s="157"/>
      <c r="H34" s="157"/>
      <c r="I34" s="157"/>
      <c r="J34" s="157"/>
      <c r="K34" s="147"/>
      <c r="L34" s="147"/>
    </row>
    <row r="35" spans="1:12" ht="15">
      <c r="A35" s="157"/>
      <c r="B35" s="157"/>
      <c r="C35" s="157"/>
      <c r="D35" s="157"/>
      <c r="E35" s="157"/>
      <c r="F35" s="157"/>
      <c r="G35" s="157"/>
      <c r="H35" s="157"/>
      <c r="I35" s="157"/>
      <c r="J35" s="157"/>
      <c r="K35" s="147"/>
      <c r="L35" s="147"/>
    </row>
    <row r="36" spans="1:12" ht="15">
      <c r="A36" s="157"/>
      <c r="B36" s="158"/>
      <c r="C36" s="157"/>
      <c r="D36" s="157"/>
      <c r="E36" s="157"/>
      <c r="F36" s="157"/>
      <c r="G36" s="157"/>
      <c r="H36" s="157"/>
      <c r="I36" s="157"/>
      <c r="J36" s="157"/>
      <c r="K36" s="147"/>
      <c r="L36" s="147"/>
    </row>
    <row r="37" spans="1:12" ht="15">
      <c r="A37" s="157"/>
      <c r="B37" s="157"/>
      <c r="C37" s="157"/>
      <c r="D37" s="157"/>
      <c r="E37" s="157"/>
      <c r="F37" s="157"/>
      <c r="G37" s="157"/>
      <c r="H37" s="157"/>
      <c r="I37" s="157"/>
      <c r="J37" s="157"/>
      <c r="K37" s="147"/>
      <c r="L37" s="147"/>
    </row>
    <row r="38" spans="1:12" ht="15">
      <c r="A38" s="157"/>
      <c r="B38" s="157"/>
      <c r="C38" s="157"/>
      <c r="D38" s="157"/>
      <c r="E38" s="157"/>
      <c r="F38" s="157"/>
      <c r="G38" s="157"/>
      <c r="H38" s="157"/>
      <c r="I38" s="157"/>
      <c r="J38" s="157"/>
      <c r="K38" s="147"/>
      <c r="L38" s="147"/>
    </row>
    <row r="39" spans="1:12" ht="15">
      <c r="A39" s="157"/>
      <c r="B39" s="157"/>
      <c r="C39" s="157"/>
      <c r="D39" s="157"/>
      <c r="E39" s="157"/>
      <c r="F39" s="157"/>
      <c r="G39" s="157"/>
      <c r="H39" s="157"/>
      <c r="I39" s="157"/>
      <c r="J39" s="157"/>
      <c r="K39" s="147"/>
      <c r="L39" s="147"/>
    </row>
    <row r="40" spans="1:12" ht="15">
      <c r="A40" s="157"/>
      <c r="B40" s="158"/>
      <c r="C40" s="157"/>
      <c r="D40" s="157"/>
      <c r="E40" s="157"/>
      <c r="F40" s="157"/>
      <c r="G40" s="157"/>
      <c r="H40" s="157"/>
      <c r="I40" s="157"/>
      <c r="J40" s="157"/>
      <c r="K40" s="147"/>
      <c r="L40" s="147"/>
    </row>
    <row r="41" spans="1:12" ht="15">
      <c r="A41" s="157"/>
      <c r="B41" s="157"/>
      <c r="C41" s="157"/>
      <c r="D41" s="157"/>
      <c r="E41" s="157"/>
      <c r="F41" s="157"/>
      <c r="G41" s="157"/>
      <c r="H41" s="157"/>
      <c r="I41" s="157"/>
      <c r="J41" s="157"/>
      <c r="K41" s="147"/>
      <c r="L41" s="147"/>
    </row>
    <row r="42" spans="1:12" ht="15">
      <c r="A42" s="157"/>
      <c r="B42" s="157"/>
      <c r="C42" s="157"/>
      <c r="D42" s="157"/>
      <c r="E42" s="157"/>
      <c r="F42" s="157"/>
      <c r="G42" s="157"/>
      <c r="H42" s="157"/>
      <c r="I42" s="157"/>
      <c r="J42" s="157"/>
      <c r="K42" s="147"/>
      <c r="L42" s="147"/>
    </row>
    <row r="43" spans="1:12" ht="15">
      <c r="A43" s="157"/>
      <c r="B43" s="158"/>
      <c r="C43" s="157"/>
      <c r="D43" s="157"/>
      <c r="E43" s="157"/>
      <c r="F43" s="157"/>
      <c r="G43" s="157"/>
      <c r="H43" s="157"/>
      <c r="I43" s="157"/>
      <c r="J43" s="157"/>
      <c r="K43" s="147"/>
      <c r="L43" s="147"/>
    </row>
    <row r="44" spans="1:12" ht="15">
      <c r="A44" s="157"/>
      <c r="B44" s="158"/>
      <c r="C44" s="157"/>
      <c r="D44" s="157"/>
      <c r="E44" s="157"/>
      <c r="F44" s="157"/>
      <c r="G44" s="157"/>
      <c r="H44" s="157"/>
      <c r="I44" s="157"/>
      <c r="J44" s="157"/>
      <c r="K44" s="147"/>
      <c r="L44" s="147"/>
    </row>
    <row r="45" spans="1:12" ht="15">
      <c r="A45" s="157"/>
      <c r="B45" s="158"/>
      <c r="C45" s="157"/>
      <c r="D45" s="157"/>
      <c r="E45" s="157"/>
      <c r="F45" s="157"/>
      <c r="G45" s="157"/>
      <c r="H45" s="157"/>
      <c r="I45" s="157"/>
      <c r="J45" s="157"/>
      <c r="K45" s="147"/>
      <c r="L45" s="147"/>
    </row>
    <row r="46" spans="1:12" ht="15">
      <c r="A46" s="157"/>
      <c r="B46" s="158"/>
      <c r="C46" s="157"/>
      <c r="D46" s="157"/>
      <c r="E46" s="157"/>
      <c r="F46" s="157"/>
      <c r="G46" s="157"/>
      <c r="H46" s="157"/>
      <c r="I46" s="157"/>
      <c r="J46" s="157"/>
      <c r="K46" s="147"/>
      <c r="L46" s="147"/>
    </row>
    <row r="47" spans="1:12" ht="15">
      <c r="A47" s="157"/>
      <c r="B47" s="158"/>
      <c r="C47" s="157"/>
      <c r="D47" s="157"/>
      <c r="E47" s="157"/>
      <c r="F47" s="157"/>
      <c r="G47" s="157"/>
      <c r="H47" s="157"/>
      <c r="I47" s="157"/>
      <c r="J47" s="157"/>
      <c r="K47" s="147"/>
      <c r="L47" s="147"/>
    </row>
    <row r="48" spans="1:12" ht="15">
      <c r="A48" s="157"/>
      <c r="B48" s="157"/>
      <c r="C48" s="157"/>
      <c r="D48" s="157"/>
      <c r="E48" s="157"/>
      <c r="F48" s="157"/>
      <c r="G48" s="157"/>
      <c r="H48" s="157"/>
      <c r="I48" s="157"/>
      <c r="J48" s="157"/>
      <c r="K48" s="147"/>
      <c r="L48" s="147"/>
    </row>
    <row r="49" spans="1:12" ht="15">
      <c r="A49" s="157"/>
      <c r="B49" s="157"/>
      <c r="C49" s="157"/>
      <c r="D49" s="157"/>
      <c r="E49" s="157"/>
      <c r="F49" s="157"/>
      <c r="G49" s="157"/>
      <c r="H49" s="157"/>
      <c r="I49" s="157"/>
      <c r="J49" s="157"/>
      <c r="K49" s="147"/>
      <c r="L49" s="147"/>
    </row>
    <row r="50" spans="1:12" ht="15">
      <c r="A50" s="157"/>
      <c r="B50" s="157"/>
      <c r="C50" s="157"/>
      <c r="D50" s="157"/>
      <c r="E50" s="157"/>
      <c r="F50" s="157"/>
      <c r="G50" s="157"/>
      <c r="H50" s="157"/>
      <c r="I50" s="157"/>
      <c r="J50" s="157"/>
      <c r="K50" s="147"/>
      <c r="L50" s="147"/>
    </row>
    <row r="51" spans="1:12" ht="15">
      <c r="A51" s="157"/>
      <c r="B51" s="157"/>
      <c r="C51" s="157"/>
      <c r="D51" s="157"/>
      <c r="E51" s="157"/>
      <c r="F51" s="157"/>
      <c r="G51" s="157"/>
      <c r="H51" s="157"/>
      <c r="I51" s="157"/>
      <c r="J51" s="157"/>
      <c r="K51" s="147"/>
      <c r="L51" s="147"/>
    </row>
    <row r="52" spans="1:12" ht="15">
      <c r="A52" s="157"/>
      <c r="B52" s="157"/>
      <c r="C52" s="157"/>
      <c r="D52" s="157"/>
      <c r="E52" s="157"/>
      <c r="F52" s="157"/>
      <c r="G52" s="157"/>
      <c r="H52" s="157"/>
      <c r="I52" s="157"/>
      <c r="J52" s="157"/>
      <c r="K52" s="147"/>
      <c r="L52" s="147"/>
    </row>
    <row r="53" spans="1:12" ht="15">
      <c r="A53" s="157"/>
      <c r="B53" s="157"/>
      <c r="C53" s="157"/>
      <c r="D53" s="157"/>
      <c r="E53" s="157"/>
      <c r="F53" s="157"/>
      <c r="G53" s="157"/>
      <c r="H53" s="157"/>
      <c r="I53" s="157"/>
      <c r="J53" s="157"/>
      <c r="K53" s="147"/>
      <c r="L53" s="147"/>
    </row>
    <row r="54" spans="1:12" ht="15">
      <c r="A54" s="157"/>
      <c r="B54" s="157"/>
      <c r="C54" s="157"/>
      <c r="D54" s="157"/>
      <c r="E54" s="157"/>
      <c r="F54" s="157"/>
      <c r="G54" s="157"/>
      <c r="H54" s="157"/>
      <c r="I54" s="157"/>
      <c r="J54" s="157"/>
      <c r="K54" s="147"/>
      <c r="L54" s="147"/>
    </row>
    <row r="55" spans="1:12" ht="15">
      <c r="A55" s="157"/>
      <c r="B55" s="157"/>
      <c r="C55" s="157"/>
      <c r="D55" s="157"/>
      <c r="E55" s="157"/>
      <c r="F55" s="157"/>
      <c r="G55" s="157"/>
      <c r="H55" s="157"/>
      <c r="I55" s="157"/>
      <c r="J55" s="157"/>
      <c r="K55" s="147"/>
      <c r="L55" s="147"/>
    </row>
    <row r="56" spans="1:12" ht="15">
      <c r="A56" s="157"/>
      <c r="B56" s="157"/>
      <c r="C56" s="157"/>
      <c r="D56" s="157"/>
      <c r="E56" s="157"/>
      <c r="F56" s="157"/>
      <c r="G56" s="157"/>
      <c r="H56" s="157"/>
      <c r="I56" s="157"/>
      <c r="J56" s="157"/>
      <c r="K56" s="147"/>
      <c r="L56" s="147"/>
    </row>
    <row r="57" spans="1:12" ht="15">
      <c r="A57" s="157"/>
      <c r="B57" s="157"/>
      <c r="C57" s="157"/>
      <c r="D57" s="157"/>
      <c r="E57" s="157"/>
      <c r="F57" s="157"/>
      <c r="G57" s="157"/>
      <c r="H57" s="157"/>
      <c r="I57" s="157"/>
      <c r="J57" s="157"/>
      <c r="K57" s="147"/>
      <c r="L57" s="147"/>
    </row>
    <row r="58" spans="1:12" ht="15">
      <c r="A58" s="157"/>
      <c r="B58" s="157"/>
      <c r="C58" s="157"/>
      <c r="D58" s="157"/>
      <c r="E58" s="157"/>
      <c r="F58" s="157"/>
      <c r="G58" s="157"/>
      <c r="H58" s="157"/>
      <c r="I58" s="157"/>
      <c r="J58" s="157"/>
      <c r="K58" s="147"/>
      <c r="L58" s="147"/>
    </row>
    <row r="59" spans="1:12" ht="15">
      <c r="A59" s="157"/>
      <c r="B59" s="157"/>
      <c r="C59" s="157"/>
      <c r="D59" s="157"/>
      <c r="E59" s="157"/>
      <c r="F59" s="157"/>
      <c r="G59" s="157"/>
      <c r="H59" s="157"/>
      <c r="I59" s="157"/>
      <c r="J59" s="157"/>
      <c r="K59" s="147"/>
      <c r="L59" s="147"/>
    </row>
    <row r="60" spans="1:12" ht="15">
      <c r="A60" s="157"/>
      <c r="B60" s="157"/>
      <c r="C60" s="157"/>
      <c r="D60" s="157"/>
      <c r="E60" s="157"/>
      <c r="F60" s="157"/>
      <c r="G60" s="157"/>
      <c r="H60" s="157"/>
      <c r="I60" s="157"/>
      <c r="J60" s="157"/>
      <c r="K60" s="147"/>
      <c r="L60" s="147"/>
    </row>
    <row r="61" spans="1:12" ht="15">
      <c r="A61" s="157"/>
      <c r="B61" s="157"/>
      <c r="C61" s="157"/>
      <c r="D61" s="157"/>
      <c r="E61" s="157"/>
      <c r="F61" s="157"/>
      <c r="G61" s="157"/>
      <c r="H61" s="157"/>
      <c r="I61" s="157"/>
      <c r="J61" s="157"/>
      <c r="K61" s="147"/>
      <c r="L61" s="147"/>
    </row>
    <row r="62" spans="1:12" ht="15">
      <c r="A62" s="157"/>
      <c r="B62" s="157"/>
      <c r="C62" s="157"/>
      <c r="D62" s="157"/>
      <c r="E62" s="157"/>
      <c r="F62" s="157"/>
      <c r="G62" s="157"/>
      <c r="H62" s="157"/>
      <c r="I62" s="157"/>
      <c r="J62" s="157"/>
      <c r="K62" s="147"/>
      <c r="L62" s="147"/>
    </row>
    <row r="63" spans="1:12" ht="15">
      <c r="A63" s="157"/>
      <c r="B63" s="157"/>
      <c r="C63" s="157"/>
      <c r="D63" s="157"/>
      <c r="E63" s="157"/>
      <c r="F63" s="157"/>
      <c r="G63" s="157"/>
      <c r="H63" s="157"/>
      <c r="I63" s="157"/>
      <c r="J63" s="157"/>
      <c r="K63" s="147"/>
      <c r="L63" s="147"/>
    </row>
    <row r="64" spans="1:12" ht="15">
      <c r="A64" s="157"/>
      <c r="B64" s="157"/>
      <c r="C64" s="157"/>
      <c r="D64" s="157"/>
      <c r="E64" s="157"/>
      <c r="F64" s="157"/>
      <c r="G64" s="157"/>
      <c r="H64" s="157"/>
      <c r="I64" s="157"/>
      <c r="J64" s="157"/>
      <c r="K64" s="147"/>
      <c r="L64" s="147"/>
    </row>
    <row r="65" spans="1:12" ht="15">
      <c r="A65" s="157"/>
      <c r="B65" s="157"/>
      <c r="C65" s="157"/>
      <c r="D65" s="157"/>
      <c r="E65" s="157"/>
      <c r="F65" s="157"/>
      <c r="G65" s="157"/>
      <c r="H65" s="157"/>
      <c r="I65" s="157"/>
      <c r="J65" s="157"/>
      <c r="K65" s="147"/>
      <c r="L65" s="147"/>
    </row>
    <row r="66" spans="1:12" ht="15">
      <c r="A66" s="157"/>
      <c r="B66" s="157"/>
      <c r="C66" s="157"/>
      <c r="D66" s="157"/>
      <c r="E66" s="157"/>
      <c r="F66" s="157"/>
      <c r="G66" s="157"/>
      <c r="H66" s="157"/>
      <c r="I66" s="157"/>
      <c r="J66" s="157"/>
      <c r="K66" s="147"/>
      <c r="L66" s="147"/>
    </row>
    <row r="67" spans="1:12" ht="15">
      <c r="A67" s="157"/>
      <c r="B67" s="157"/>
      <c r="C67" s="157"/>
      <c r="D67" s="157"/>
      <c r="E67" s="157"/>
      <c r="F67" s="157"/>
      <c r="G67" s="157"/>
      <c r="H67" s="157"/>
      <c r="I67" s="157"/>
      <c r="J67" s="157"/>
      <c r="K67" s="147"/>
      <c r="L67" s="147"/>
    </row>
    <row r="68" spans="1:12" ht="15">
      <c r="A68" s="157"/>
      <c r="B68" s="157"/>
      <c r="C68" s="157"/>
      <c r="D68" s="157"/>
      <c r="E68" s="157"/>
      <c r="F68" s="157"/>
      <c r="G68" s="157"/>
      <c r="H68" s="157"/>
      <c r="I68" s="157"/>
      <c r="J68" s="157"/>
      <c r="K68" s="147"/>
      <c r="L68" s="147"/>
    </row>
    <row r="69" spans="1:12" ht="15">
      <c r="A69" s="157"/>
      <c r="B69" s="157"/>
      <c r="C69" s="157"/>
      <c r="D69" s="157"/>
      <c r="E69" s="157"/>
      <c r="F69" s="157"/>
      <c r="G69" s="157"/>
      <c r="H69" s="157"/>
      <c r="I69" s="157"/>
      <c r="J69" s="157"/>
      <c r="K69" s="147"/>
      <c r="L69" s="147"/>
    </row>
    <row r="70" spans="1:12" ht="15">
      <c r="A70" s="157"/>
      <c r="B70" s="157"/>
      <c r="C70" s="157"/>
      <c r="D70" s="157"/>
      <c r="E70" s="157"/>
      <c r="F70" s="157"/>
      <c r="G70" s="157"/>
      <c r="H70" s="157"/>
      <c r="I70" s="157"/>
      <c r="J70" s="157"/>
      <c r="K70" s="147"/>
      <c r="L70" s="147"/>
    </row>
    <row r="71" spans="1:12" ht="15">
      <c r="A71" s="157"/>
      <c r="B71" s="157"/>
      <c r="C71" s="157"/>
      <c r="D71" s="157"/>
      <c r="E71" s="157"/>
      <c r="F71" s="157"/>
      <c r="G71" s="157"/>
      <c r="H71" s="157"/>
      <c r="I71" s="157"/>
      <c r="J71" s="157"/>
      <c r="K71" s="147"/>
      <c r="L71" s="147"/>
    </row>
    <row r="72" spans="1:12" ht="15">
      <c r="A72" s="157"/>
      <c r="B72" s="157"/>
      <c r="C72" s="157"/>
      <c r="D72" s="157"/>
      <c r="E72" s="157"/>
      <c r="F72" s="157"/>
      <c r="G72" s="157"/>
      <c r="H72" s="157"/>
      <c r="I72" s="157"/>
      <c r="J72" s="157"/>
      <c r="K72" s="147"/>
      <c r="L72" s="147"/>
    </row>
    <row r="73" spans="1:12" ht="15">
      <c r="A73" s="157"/>
      <c r="B73" s="157"/>
      <c r="C73" s="157"/>
      <c r="D73" s="157"/>
      <c r="E73" s="157"/>
      <c r="F73" s="157"/>
      <c r="G73" s="157"/>
      <c r="H73" s="157"/>
      <c r="I73" s="157"/>
      <c r="J73" s="157"/>
      <c r="K73" s="147"/>
      <c r="L73" s="147"/>
    </row>
    <row r="74" spans="1:12" ht="15">
      <c r="A74" s="157"/>
      <c r="B74" s="157"/>
      <c r="C74" s="157"/>
      <c r="D74" s="157"/>
      <c r="E74" s="157"/>
      <c r="F74" s="157"/>
      <c r="G74" s="157"/>
      <c r="H74" s="157"/>
      <c r="I74" s="157"/>
      <c r="J74" s="157"/>
      <c r="K74" s="147"/>
      <c r="L74" s="147"/>
    </row>
    <row r="75" spans="1:12" ht="15">
      <c r="A75" s="157"/>
      <c r="B75" s="157"/>
      <c r="C75" s="157"/>
      <c r="D75" s="157"/>
      <c r="E75" s="157"/>
      <c r="F75" s="157"/>
      <c r="G75" s="157"/>
      <c r="H75" s="157"/>
      <c r="I75" s="157"/>
      <c r="J75" s="157"/>
      <c r="K75" s="147"/>
      <c r="L75" s="147"/>
    </row>
    <row r="76" spans="1:12" ht="12.75">
      <c r="A76" s="147"/>
      <c r="B76" s="147"/>
      <c r="C76" s="147"/>
      <c r="D76" s="147"/>
      <c r="E76" s="147"/>
      <c r="F76" s="147"/>
      <c r="G76" s="147"/>
      <c r="H76" s="147"/>
      <c r="I76" s="147"/>
      <c r="J76" s="147"/>
      <c r="K76" s="147"/>
      <c r="L76" s="147"/>
    </row>
    <row r="77" spans="1:12" ht="12.75">
      <c r="A77" s="147"/>
      <c r="B77" s="147"/>
      <c r="C77" s="147"/>
      <c r="D77" s="147"/>
      <c r="E77" s="147"/>
      <c r="F77" s="147"/>
      <c r="G77" s="147"/>
      <c r="H77" s="147"/>
      <c r="I77" s="147"/>
      <c r="J77" s="147"/>
      <c r="K77" s="147"/>
      <c r="L77" s="147"/>
    </row>
    <row r="78" spans="1:12" ht="12.75">
      <c r="A78" s="147"/>
      <c r="B78" s="147"/>
      <c r="C78" s="147"/>
      <c r="D78" s="147"/>
      <c r="E78" s="147"/>
      <c r="F78" s="147"/>
      <c r="G78" s="147"/>
      <c r="H78" s="147"/>
      <c r="I78" s="147"/>
      <c r="J78" s="147"/>
      <c r="K78" s="147"/>
      <c r="L78" s="147"/>
    </row>
    <row r="79" spans="1:12" ht="12.75">
      <c r="A79" s="147"/>
      <c r="B79" s="147"/>
      <c r="C79" s="147"/>
      <c r="D79" s="147"/>
      <c r="E79" s="147"/>
      <c r="F79" s="147"/>
      <c r="G79" s="147"/>
      <c r="H79" s="147"/>
      <c r="I79" s="147"/>
      <c r="J79" s="147"/>
      <c r="K79" s="147"/>
      <c r="L79" s="147"/>
    </row>
    <row r="80" spans="1:12" ht="12.75">
      <c r="A80" s="147"/>
      <c r="B80" s="147"/>
      <c r="C80" s="147"/>
      <c r="D80" s="147"/>
      <c r="E80" s="147"/>
      <c r="F80" s="147"/>
      <c r="G80" s="147"/>
      <c r="H80" s="147"/>
      <c r="I80" s="147"/>
      <c r="J80" s="147"/>
      <c r="K80" s="147"/>
      <c r="L80" s="147"/>
    </row>
    <row r="81" spans="1:12" ht="12.75">
      <c r="A81" s="147"/>
      <c r="B81" s="147"/>
      <c r="C81" s="147"/>
      <c r="D81" s="147"/>
      <c r="E81" s="147"/>
      <c r="F81" s="147"/>
      <c r="G81" s="147"/>
      <c r="H81" s="147"/>
      <c r="I81" s="147"/>
      <c r="J81" s="147"/>
      <c r="K81" s="147"/>
      <c r="L81" s="147"/>
    </row>
    <row r="82" spans="1:12" ht="12.75">
      <c r="A82" s="147"/>
      <c r="B82" s="147"/>
      <c r="C82" s="147"/>
      <c r="D82" s="147"/>
      <c r="E82" s="147"/>
      <c r="F82" s="147"/>
      <c r="G82" s="147"/>
      <c r="H82" s="147"/>
      <c r="I82" s="147"/>
      <c r="J82" s="147"/>
      <c r="K82" s="147"/>
      <c r="L82" s="147"/>
    </row>
    <row r="83" spans="1:12" ht="12.75">
      <c r="A83" s="147"/>
      <c r="B83" s="147"/>
      <c r="C83" s="147"/>
      <c r="D83" s="147"/>
      <c r="E83" s="147"/>
      <c r="F83" s="147"/>
      <c r="G83" s="147"/>
      <c r="H83" s="147"/>
      <c r="I83" s="147"/>
      <c r="J83" s="147"/>
      <c r="K83" s="147"/>
      <c r="L83" s="147"/>
    </row>
    <row r="84" spans="1:12" ht="12.75">
      <c r="A84" s="147"/>
      <c r="B84" s="147"/>
      <c r="C84" s="147"/>
      <c r="D84" s="147"/>
      <c r="E84" s="147"/>
      <c r="F84" s="147"/>
      <c r="G84" s="147"/>
      <c r="H84" s="147"/>
      <c r="I84" s="147"/>
      <c r="J84" s="147"/>
      <c r="K84" s="147"/>
      <c r="L84" s="147"/>
    </row>
    <row r="85" spans="1:12" ht="12.75">
      <c r="A85" s="147"/>
      <c r="B85" s="147"/>
      <c r="C85" s="147"/>
      <c r="D85" s="147"/>
      <c r="E85" s="147"/>
      <c r="F85" s="147"/>
      <c r="G85" s="147"/>
      <c r="H85" s="147"/>
      <c r="I85" s="147"/>
      <c r="J85" s="147"/>
      <c r="K85" s="147"/>
      <c r="L85" s="147"/>
    </row>
    <row r="86" spans="1:12" ht="12.75">
      <c r="A86" s="147"/>
      <c r="B86" s="147"/>
      <c r="C86" s="147"/>
      <c r="D86" s="147"/>
      <c r="E86" s="147"/>
      <c r="F86" s="147"/>
      <c r="G86" s="147"/>
      <c r="H86" s="147"/>
      <c r="I86" s="147"/>
      <c r="J86" s="147"/>
      <c r="K86" s="147"/>
      <c r="L86" s="147"/>
    </row>
    <row r="87" spans="1:12" ht="12.75">
      <c r="A87" s="147"/>
      <c r="B87" s="147"/>
      <c r="C87" s="147"/>
      <c r="D87" s="147"/>
      <c r="E87" s="147"/>
      <c r="F87" s="147"/>
      <c r="G87" s="147"/>
      <c r="H87" s="147"/>
      <c r="I87" s="147"/>
      <c r="J87" s="147"/>
      <c r="K87" s="147"/>
      <c r="L87" s="147"/>
    </row>
    <row r="88" spans="1:12" ht="12.75">
      <c r="A88" s="147"/>
      <c r="B88" s="147"/>
      <c r="C88" s="147"/>
      <c r="D88" s="147"/>
      <c r="E88" s="147"/>
      <c r="F88" s="147"/>
      <c r="G88" s="147"/>
      <c r="H88" s="147"/>
      <c r="I88" s="147"/>
      <c r="J88" s="147"/>
      <c r="K88" s="147"/>
      <c r="L88" s="147"/>
    </row>
    <row r="89" spans="1:12" ht="12.75">
      <c r="A89" s="147"/>
      <c r="B89" s="147"/>
      <c r="C89" s="147"/>
      <c r="D89" s="147"/>
      <c r="E89" s="147"/>
      <c r="F89" s="147"/>
      <c r="G89" s="147"/>
      <c r="H89" s="147"/>
      <c r="I89" s="147"/>
      <c r="J89" s="147"/>
      <c r="K89" s="147"/>
      <c r="L89" s="147"/>
    </row>
    <row r="90" spans="1:12" ht="12.75">
      <c r="A90" s="147"/>
      <c r="B90" s="147"/>
      <c r="C90" s="147"/>
      <c r="D90" s="147"/>
      <c r="E90" s="147"/>
      <c r="F90" s="147"/>
      <c r="G90" s="147"/>
      <c r="H90" s="147"/>
      <c r="I90" s="147"/>
      <c r="J90" s="147"/>
      <c r="K90" s="147"/>
      <c r="L90" s="147"/>
    </row>
    <row r="91" spans="1:12" ht="12.75">
      <c r="A91" s="147"/>
      <c r="B91" s="147"/>
      <c r="C91" s="147"/>
      <c r="D91" s="147"/>
      <c r="E91" s="147"/>
      <c r="F91" s="147"/>
      <c r="G91" s="147"/>
      <c r="H91" s="147"/>
      <c r="I91" s="147"/>
      <c r="J91" s="147"/>
      <c r="K91" s="147"/>
      <c r="L91" s="147"/>
    </row>
    <row r="92" spans="1:12" ht="12.75">
      <c r="A92" s="147"/>
      <c r="B92" s="147"/>
      <c r="C92" s="147"/>
      <c r="D92" s="147"/>
      <c r="E92" s="147"/>
      <c r="F92" s="147"/>
      <c r="G92" s="147"/>
      <c r="H92" s="147"/>
      <c r="I92" s="147"/>
      <c r="J92" s="147"/>
      <c r="K92" s="147"/>
      <c r="L92" s="147"/>
    </row>
    <row r="93" spans="1:12" ht="12.75">
      <c r="A93" s="147"/>
      <c r="B93" s="147"/>
      <c r="C93" s="147"/>
      <c r="D93" s="147"/>
      <c r="E93" s="147"/>
      <c r="F93" s="147"/>
      <c r="G93" s="147"/>
      <c r="H93" s="147"/>
      <c r="I93" s="147"/>
      <c r="J93" s="147"/>
      <c r="K93" s="147"/>
      <c r="L93" s="147"/>
    </row>
    <row r="94" spans="1:12" ht="12.75">
      <c r="A94" s="147"/>
      <c r="B94" s="147"/>
      <c r="C94" s="147"/>
      <c r="D94" s="147"/>
      <c r="E94" s="147"/>
      <c r="F94" s="147"/>
      <c r="G94" s="147"/>
      <c r="H94" s="147"/>
      <c r="I94" s="147"/>
      <c r="J94" s="147"/>
      <c r="K94" s="147"/>
      <c r="L94" s="147"/>
    </row>
    <row r="95" spans="1:12" ht="12.75">
      <c r="A95" s="147"/>
      <c r="B95" s="147"/>
      <c r="C95" s="147"/>
      <c r="D95" s="147"/>
      <c r="E95" s="147"/>
      <c r="F95" s="147"/>
      <c r="G95" s="147"/>
      <c r="H95" s="147"/>
      <c r="I95" s="147"/>
      <c r="J95" s="147"/>
      <c r="K95" s="147"/>
      <c r="L95" s="147"/>
    </row>
    <row r="96" spans="1:12" ht="12.75">
      <c r="A96" s="147"/>
      <c r="B96" s="147"/>
      <c r="C96" s="147"/>
      <c r="D96" s="147"/>
      <c r="E96" s="147"/>
      <c r="F96" s="147"/>
      <c r="G96" s="147"/>
      <c r="H96" s="147"/>
      <c r="I96" s="147"/>
      <c r="J96" s="147"/>
      <c r="K96" s="147"/>
      <c r="L96" s="147"/>
    </row>
    <row r="97" spans="1:12" ht="12.75">
      <c r="A97" s="147"/>
      <c r="B97" s="147"/>
      <c r="C97" s="147"/>
      <c r="D97" s="147"/>
      <c r="E97" s="147"/>
      <c r="F97" s="147"/>
      <c r="G97" s="147"/>
      <c r="H97" s="147"/>
      <c r="I97" s="147"/>
      <c r="J97" s="147"/>
      <c r="K97" s="147"/>
      <c r="L97" s="147"/>
    </row>
    <row r="98" spans="1:12" ht="12.75">
      <c r="A98" s="147"/>
      <c r="B98" s="147"/>
      <c r="C98" s="147"/>
      <c r="D98" s="147"/>
      <c r="E98" s="147"/>
      <c r="F98" s="147"/>
      <c r="G98" s="147"/>
      <c r="H98" s="147"/>
      <c r="I98" s="147"/>
      <c r="J98" s="147"/>
      <c r="K98" s="147"/>
      <c r="L98" s="147"/>
    </row>
    <row r="99" spans="1:12" ht="12.75">
      <c r="A99" s="147"/>
      <c r="B99" s="147"/>
      <c r="C99" s="147"/>
      <c r="D99" s="147"/>
      <c r="E99" s="147"/>
      <c r="F99" s="147"/>
      <c r="G99" s="147"/>
      <c r="H99" s="147"/>
      <c r="I99" s="147"/>
      <c r="J99" s="147"/>
      <c r="K99" s="147"/>
      <c r="L99" s="147"/>
    </row>
    <row r="100" spans="1:12" ht="12.75">
      <c r="A100" s="147"/>
      <c r="B100" s="147"/>
      <c r="C100" s="147"/>
      <c r="D100" s="147"/>
      <c r="E100" s="147"/>
      <c r="F100" s="147"/>
      <c r="G100" s="147"/>
      <c r="H100" s="147"/>
      <c r="I100" s="147"/>
      <c r="J100" s="147"/>
      <c r="K100" s="147"/>
      <c r="L100" s="147"/>
    </row>
    <row r="101" spans="1:12" ht="12.75">
      <c r="A101" s="147"/>
      <c r="B101" s="147"/>
      <c r="C101" s="147"/>
      <c r="D101" s="147"/>
      <c r="E101" s="147"/>
      <c r="F101" s="147"/>
      <c r="G101" s="147"/>
      <c r="H101" s="147"/>
      <c r="I101" s="147"/>
      <c r="J101" s="147"/>
      <c r="K101" s="147"/>
      <c r="L101" s="147"/>
    </row>
    <row r="102" spans="1:12" ht="12.75">
      <c r="A102" s="147"/>
      <c r="B102" s="147"/>
      <c r="C102" s="147"/>
      <c r="D102" s="147"/>
      <c r="E102" s="147"/>
      <c r="F102" s="147"/>
      <c r="G102" s="147"/>
      <c r="H102" s="147"/>
      <c r="I102" s="147"/>
      <c r="J102" s="147"/>
      <c r="K102" s="147"/>
      <c r="L102" s="147"/>
    </row>
    <row r="103" spans="1:12" ht="12.75">
      <c r="A103" s="147"/>
      <c r="B103" s="147"/>
      <c r="C103" s="147"/>
      <c r="D103" s="147"/>
      <c r="E103" s="147"/>
      <c r="F103" s="147"/>
      <c r="G103" s="147"/>
      <c r="H103" s="147"/>
      <c r="I103" s="147"/>
      <c r="J103" s="147"/>
      <c r="K103" s="147"/>
      <c r="L103" s="147"/>
    </row>
    <row r="104" spans="1:12" ht="12.75">
      <c r="A104" s="147"/>
      <c r="B104" s="147"/>
      <c r="C104" s="147"/>
      <c r="D104" s="147"/>
      <c r="E104" s="147"/>
      <c r="F104" s="147"/>
      <c r="G104" s="147"/>
      <c r="H104" s="147"/>
      <c r="I104" s="147"/>
      <c r="J104" s="147"/>
      <c r="K104" s="147"/>
      <c r="L104" s="147"/>
    </row>
    <row r="105" spans="1:12" ht="12.75">
      <c r="A105" s="147"/>
      <c r="B105" s="147"/>
      <c r="C105" s="147"/>
      <c r="D105" s="147"/>
      <c r="E105" s="147"/>
      <c r="F105" s="147"/>
      <c r="G105" s="147"/>
      <c r="H105" s="147"/>
      <c r="I105" s="147"/>
      <c r="J105" s="147"/>
      <c r="K105" s="147"/>
      <c r="L105" s="147"/>
    </row>
    <row r="106" spans="1:12" ht="12.75">
      <c r="A106" s="147"/>
      <c r="B106" s="147"/>
      <c r="C106" s="147"/>
      <c r="D106" s="147"/>
      <c r="E106" s="147"/>
      <c r="F106" s="147"/>
      <c r="G106" s="147"/>
      <c r="H106" s="147"/>
      <c r="I106" s="147"/>
      <c r="J106" s="147"/>
      <c r="K106" s="147"/>
      <c r="L106" s="147"/>
    </row>
    <row r="107" spans="1:12" ht="12.75">
      <c r="A107" s="147"/>
      <c r="B107" s="147"/>
      <c r="C107" s="147"/>
      <c r="D107" s="147"/>
      <c r="E107" s="147"/>
      <c r="F107" s="147"/>
      <c r="G107" s="147"/>
      <c r="H107" s="147"/>
      <c r="I107" s="147"/>
      <c r="J107" s="147"/>
      <c r="K107" s="147"/>
      <c r="L107" s="147"/>
    </row>
    <row r="108" spans="1:12" ht="12.75">
      <c r="A108" s="147"/>
      <c r="B108" s="147"/>
      <c r="C108" s="147"/>
      <c r="D108" s="147"/>
      <c r="E108" s="147"/>
      <c r="F108" s="147"/>
      <c r="G108" s="147"/>
      <c r="H108" s="147"/>
      <c r="I108" s="147"/>
      <c r="J108" s="147"/>
      <c r="K108" s="147"/>
      <c r="L108" s="147"/>
    </row>
    <row r="109" spans="1:12" ht="12.75">
      <c r="A109" s="147"/>
      <c r="B109" s="147"/>
      <c r="C109" s="147"/>
      <c r="D109" s="147"/>
      <c r="E109" s="147"/>
      <c r="F109" s="147"/>
      <c r="G109" s="147"/>
      <c r="H109" s="147"/>
      <c r="I109" s="147"/>
      <c r="J109" s="147"/>
      <c r="K109" s="147"/>
      <c r="L109" s="147"/>
    </row>
    <row r="110" spans="1:12" ht="12.75">
      <c r="A110" s="147"/>
      <c r="B110" s="147"/>
      <c r="C110" s="147"/>
      <c r="D110" s="147"/>
      <c r="E110" s="147"/>
      <c r="F110" s="147"/>
      <c r="G110" s="147"/>
      <c r="H110" s="147"/>
      <c r="I110" s="147"/>
      <c r="J110" s="147"/>
      <c r="K110" s="147"/>
      <c r="L110" s="147"/>
    </row>
    <row r="111" spans="1:12" ht="12.75">
      <c r="A111" s="147"/>
      <c r="B111" s="147"/>
      <c r="C111" s="147"/>
      <c r="D111" s="147"/>
      <c r="E111" s="147"/>
      <c r="F111" s="147"/>
      <c r="G111" s="147"/>
      <c r="H111" s="147"/>
      <c r="I111" s="147"/>
      <c r="J111" s="147"/>
      <c r="K111" s="147"/>
      <c r="L111" s="147"/>
    </row>
    <row r="112" spans="1:12" ht="12.75">
      <c r="A112" s="147"/>
      <c r="B112" s="147"/>
      <c r="C112" s="147"/>
      <c r="D112" s="147"/>
      <c r="E112" s="147"/>
      <c r="F112" s="147"/>
      <c r="G112" s="147"/>
      <c r="H112" s="147"/>
      <c r="I112" s="147"/>
      <c r="J112" s="147"/>
      <c r="K112" s="147"/>
      <c r="L112" s="147"/>
    </row>
    <row r="113" spans="1:12" ht="12.75">
      <c r="A113" s="147"/>
      <c r="B113" s="147"/>
      <c r="C113" s="147"/>
      <c r="D113" s="147"/>
      <c r="E113" s="147"/>
      <c r="F113" s="147"/>
      <c r="G113" s="147"/>
      <c r="H113" s="147"/>
      <c r="I113" s="147"/>
      <c r="J113" s="147"/>
      <c r="K113" s="147"/>
      <c r="L113" s="147"/>
    </row>
    <row r="114" spans="1:12" ht="12.75">
      <c r="A114" s="147"/>
      <c r="B114" s="147"/>
      <c r="C114" s="147"/>
      <c r="D114" s="147"/>
      <c r="E114" s="147"/>
      <c r="F114" s="147"/>
      <c r="G114" s="147"/>
      <c r="H114" s="147"/>
      <c r="I114" s="147"/>
      <c r="J114" s="147"/>
      <c r="K114" s="147"/>
      <c r="L114" s="147"/>
    </row>
    <row r="115" spans="1:12" ht="12.75">
      <c r="A115" s="147"/>
      <c r="B115" s="147"/>
      <c r="C115" s="147"/>
      <c r="D115" s="147"/>
      <c r="E115" s="147"/>
      <c r="F115" s="147"/>
      <c r="G115" s="147"/>
      <c r="H115" s="147"/>
      <c r="I115" s="147"/>
      <c r="J115" s="147"/>
      <c r="K115" s="147"/>
      <c r="L115" s="147"/>
    </row>
  </sheetData>
  <sheetProtection sheet="1" objects="1" scenarios="1" selectLockedCells="1" selectUnlockedCells="1"/>
  <mergeCells count="5">
    <mergeCell ref="A6:J6"/>
    <mergeCell ref="A7:J7"/>
    <mergeCell ref="A8:J8"/>
    <mergeCell ref="A2:J2"/>
    <mergeCell ref="A3:J3"/>
  </mergeCells>
  <printOptions/>
  <pageMargins left="0.37" right="0.35" top="0.65" bottom="1" header="0.4921259845" footer="0.4921259845"/>
  <pageSetup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sheetPr codeName="Tabelle1">
    <tabColor indexed="43"/>
  </sheetPr>
  <dimension ref="A1:S36"/>
  <sheetViews>
    <sheetView tabSelected="1" workbookViewId="0" topLeftCell="A1">
      <selection activeCell="N14" sqref="N14"/>
    </sheetView>
  </sheetViews>
  <sheetFormatPr defaultColWidth="11.421875" defaultRowHeight="12.75"/>
  <cols>
    <col min="1" max="1" width="11.421875" style="42" customWidth="1"/>
    <col min="2" max="2" width="18.57421875" style="42" customWidth="1"/>
    <col min="3" max="3" width="8.57421875" style="49" customWidth="1"/>
    <col min="4" max="4" width="11.421875" style="42" customWidth="1"/>
    <col min="5" max="5" width="7.140625" style="42" customWidth="1"/>
    <col min="6" max="6" width="8.8515625" style="42" customWidth="1"/>
    <col min="7" max="7" width="2.421875" style="42" customWidth="1"/>
    <col min="8" max="8" width="18.57421875" style="42" customWidth="1"/>
    <col min="9" max="9" width="20.28125" style="42" bestFit="1" customWidth="1"/>
    <col min="10" max="10" width="11.421875" style="42" customWidth="1"/>
    <col min="11" max="11" width="7.140625" style="42" customWidth="1"/>
    <col min="12" max="12" width="9.421875" style="42" customWidth="1"/>
    <col min="13" max="13" width="12.140625" style="42" customWidth="1"/>
    <col min="14" max="14" width="12.8515625" style="42" customWidth="1"/>
    <col min="15" max="15" width="6.421875" style="42" customWidth="1"/>
    <col min="16" max="16384" width="11.421875" style="42" customWidth="1"/>
  </cols>
  <sheetData>
    <row r="1" spans="1:19" ht="23.25">
      <c r="A1" s="174" t="s">
        <v>130</v>
      </c>
      <c r="B1" s="174"/>
      <c r="C1" s="174"/>
      <c r="D1" s="174"/>
      <c r="E1" s="174"/>
      <c r="F1" s="174"/>
      <c r="G1" s="174"/>
      <c r="H1" s="174"/>
      <c r="I1" s="174"/>
      <c r="J1" s="174"/>
      <c r="K1" s="174"/>
      <c r="L1" s="174"/>
      <c r="M1" s="174"/>
      <c r="N1" s="174"/>
      <c r="Q1" s="43"/>
      <c r="R1" s="44" t="s">
        <v>87</v>
      </c>
      <c r="S1" s="45"/>
    </row>
    <row r="2" spans="1:19" ht="12.75">
      <c r="A2" s="175" t="s">
        <v>102</v>
      </c>
      <c r="B2" s="175"/>
      <c r="C2" s="175"/>
      <c r="D2" s="175"/>
      <c r="E2" s="175"/>
      <c r="F2" s="175"/>
      <c r="G2" s="175"/>
      <c r="H2" s="175"/>
      <c r="I2" s="175"/>
      <c r="J2" s="175"/>
      <c r="K2" s="175"/>
      <c r="L2" s="175"/>
      <c r="M2" s="175"/>
      <c r="N2" s="175"/>
      <c r="Q2" s="46"/>
      <c r="R2" s="47" t="s">
        <v>88</v>
      </c>
      <c r="S2" s="48"/>
    </row>
    <row r="3" spans="1:19" ht="13.5" thickBot="1">
      <c r="A3" s="49"/>
      <c r="B3" s="49"/>
      <c r="D3" s="49"/>
      <c r="E3" s="49"/>
      <c r="F3" s="49"/>
      <c r="G3" s="49"/>
      <c r="H3" s="49"/>
      <c r="I3" s="49"/>
      <c r="J3" s="49"/>
      <c r="K3" s="49"/>
      <c r="L3" s="49"/>
      <c r="M3" s="49"/>
      <c r="N3" s="49"/>
      <c r="Q3" s="46"/>
      <c r="R3" s="47"/>
      <c r="S3" s="48"/>
    </row>
    <row r="4" spans="1:19" ht="12.75">
      <c r="A4" s="176" t="s">
        <v>0</v>
      </c>
      <c r="B4" s="50" t="s">
        <v>1</v>
      </c>
      <c r="C4" s="51" t="s">
        <v>3</v>
      </c>
      <c r="D4" s="52">
        <v>1.225</v>
      </c>
      <c r="E4" s="32" t="s">
        <v>2</v>
      </c>
      <c r="F4" s="49"/>
      <c r="H4" s="179" t="s">
        <v>20</v>
      </c>
      <c r="I4" s="50" t="s">
        <v>24</v>
      </c>
      <c r="J4" s="31" t="s">
        <v>23</v>
      </c>
      <c r="K4" s="37">
        <f>$D$6^2*PI()</f>
        <v>1.7671458676442586</v>
      </c>
      <c r="L4" s="32" t="s">
        <v>21</v>
      </c>
      <c r="Q4" s="46">
        <v>0</v>
      </c>
      <c r="R4" s="53">
        <f>IF(K7/K6&gt;1.5,1.49,IF(K7/K6&lt;0.5,0.51,K7/K6))</f>
        <v>1.016988568623629</v>
      </c>
      <c r="S4" s="48"/>
    </row>
    <row r="5" spans="1:19" ht="12.75">
      <c r="A5" s="177"/>
      <c r="B5" s="54" t="s">
        <v>104</v>
      </c>
      <c r="C5" s="55" t="s">
        <v>4</v>
      </c>
      <c r="D5" s="56">
        <v>2.9</v>
      </c>
      <c r="E5" s="34" t="s">
        <v>5</v>
      </c>
      <c r="F5" s="64" t="str">
        <f>IF(D5&lt;2.5,"kritisch!","ok")</f>
        <v>ok</v>
      </c>
      <c r="H5" s="180"/>
      <c r="I5" s="54" t="s">
        <v>80</v>
      </c>
      <c r="J5" s="33"/>
      <c r="K5" s="164">
        <v>25</v>
      </c>
      <c r="L5" s="34" t="s">
        <v>15</v>
      </c>
      <c r="Q5" s="46">
        <v>1</v>
      </c>
      <c r="R5" s="53">
        <f>R4</f>
        <v>1.016988568623629</v>
      </c>
      <c r="S5" s="48"/>
    </row>
    <row r="6" spans="1:19" ht="12.75">
      <c r="A6" s="177"/>
      <c r="B6" s="54" t="s">
        <v>6</v>
      </c>
      <c r="C6" s="20" t="s">
        <v>49</v>
      </c>
      <c r="D6" s="56">
        <v>0.75</v>
      </c>
      <c r="E6" s="34" t="s">
        <v>7</v>
      </c>
      <c r="F6" s="69"/>
      <c r="H6" s="180"/>
      <c r="I6" s="54" t="s">
        <v>79</v>
      </c>
      <c r="J6" s="33" t="s">
        <v>77</v>
      </c>
      <c r="K6" s="39">
        <f>K5/100*K4</f>
        <v>0.44178646691106466</v>
      </c>
      <c r="L6" s="34" t="s">
        <v>21</v>
      </c>
      <c r="Q6" s="57"/>
      <c r="R6" s="58"/>
      <c r="S6" s="59"/>
    </row>
    <row r="7" spans="1:12" ht="13.5" thickBot="1">
      <c r="A7" s="177"/>
      <c r="B7" s="54" t="s">
        <v>8</v>
      </c>
      <c r="C7" s="20" t="s">
        <v>99</v>
      </c>
      <c r="D7" s="56">
        <v>250</v>
      </c>
      <c r="E7" s="34" t="s">
        <v>9</v>
      </c>
      <c r="F7" s="65" t="str">
        <f>IF(D7/D6/2/100&lt;0.75,"zu klein!",IF(D7/D6/2/100&gt;2,"zu groß!","ok"))</f>
        <v>ok</v>
      </c>
      <c r="H7" s="180"/>
      <c r="I7" s="60" t="s">
        <v>82</v>
      </c>
      <c r="J7" s="35" t="s">
        <v>83</v>
      </c>
      <c r="K7" s="41">
        <f>Anlaufmoment!E21*$D$8</f>
        <v>0.4492917866211739</v>
      </c>
      <c r="L7" s="36" t="s">
        <v>21</v>
      </c>
    </row>
    <row r="8" spans="1:12" ht="12.75">
      <c r="A8" s="177"/>
      <c r="B8" s="54" t="s">
        <v>10</v>
      </c>
      <c r="C8" s="20" t="s">
        <v>11</v>
      </c>
      <c r="D8" s="56">
        <v>6</v>
      </c>
      <c r="E8" s="34" t="s">
        <v>5</v>
      </c>
      <c r="F8" s="64" t="str">
        <f>IF(AND(D8=2,D5&lt;4),"kritisch!",IF(AND(D8=3,OR(D5&gt;5,D5&lt;3)),"kritisch!",IF(AND(D8&gt;=4,D5&gt;4),"kritisch!","ok")))</f>
        <v>ok</v>
      </c>
      <c r="H8" s="180"/>
      <c r="I8" s="72" t="s">
        <v>22</v>
      </c>
      <c r="J8" s="73" t="s">
        <v>25</v>
      </c>
      <c r="K8" s="167">
        <f>Anlaufmoment!I21</f>
        <v>0.5362894616619854</v>
      </c>
      <c r="L8" s="74" t="s">
        <v>26</v>
      </c>
    </row>
    <row r="9" spans="1:12" ht="12.75">
      <c r="A9" s="177"/>
      <c r="B9" s="54" t="s">
        <v>12</v>
      </c>
      <c r="C9" s="55" t="s">
        <v>50</v>
      </c>
      <c r="D9" s="56">
        <v>6</v>
      </c>
      <c r="E9" s="34" t="s">
        <v>13</v>
      </c>
      <c r="F9" s="49"/>
      <c r="H9" s="180"/>
      <c r="I9" s="54" t="s">
        <v>27</v>
      </c>
      <c r="J9" s="33" t="s">
        <v>29</v>
      </c>
      <c r="K9" s="40">
        <f>Anlaufmoment!I22</f>
        <v>125.54141911088705</v>
      </c>
      <c r="L9" s="34" t="s">
        <v>28</v>
      </c>
    </row>
    <row r="10" spans="1:12" ht="12.75">
      <c r="A10" s="177"/>
      <c r="B10" s="54" t="s">
        <v>14</v>
      </c>
      <c r="C10" s="55" t="s">
        <v>51</v>
      </c>
      <c r="D10" s="56">
        <v>30</v>
      </c>
      <c r="E10" s="34" t="s">
        <v>15</v>
      </c>
      <c r="F10" s="49"/>
      <c r="H10" s="180"/>
      <c r="I10" s="54" t="s">
        <v>30</v>
      </c>
      <c r="J10" s="33" t="s">
        <v>31</v>
      </c>
      <c r="K10" s="38">
        <f>$D$4/2*$D$12^3*$K$4*D10/100</f>
        <v>12.762521842172278</v>
      </c>
      <c r="L10" s="34" t="s">
        <v>32</v>
      </c>
    </row>
    <row r="11" spans="1:12" ht="13.5" thickBot="1">
      <c r="A11" s="177"/>
      <c r="B11" s="54" t="s">
        <v>16</v>
      </c>
      <c r="C11" s="55" t="s">
        <v>52</v>
      </c>
      <c r="D11" s="56">
        <v>80</v>
      </c>
      <c r="E11" s="34" t="s">
        <v>15</v>
      </c>
      <c r="F11" s="49"/>
      <c r="H11" s="181"/>
      <c r="I11" s="60" t="s">
        <v>33</v>
      </c>
      <c r="J11" s="35" t="s">
        <v>34</v>
      </c>
      <c r="K11" s="71">
        <f>$K$10*$D$11/100</f>
        <v>10.210017473737823</v>
      </c>
      <c r="L11" s="36" t="s">
        <v>32</v>
      </c>
    </row>
    <row r="12" spans="1:8" ht="13.5" thickBot="1">
      <c r="A12" s="178"/>
      <c r="B12" s="60" t="s">
        <v>17</v>
      </c>
      <c r="C12" s="61" t="s">
        <v>18</v>
      </c>
      <c r="D12" s="62">
        <v>3.4</v>
      </c>
      <c r="E12" s="36" t="s">
        <v>19</v>
      </c>
      <c r="H12" s="166" t="s">
        <v>132</v>
      </c>
    </row>
    <row r="13" spans="1:8" ht="12.75">
      <c r="A13" s="66"/>
      <c r="B13" s="11"/>
      <c r="C13" s="67"/>
      <c r="D13" s="63"/>
      <c r="E13" s="68"/>
      <c r="H13" s="171" t="s">
        <v>136</v>
      </c>
    </row>
    <row r="14" ht="12.75"/>
    <row r="15" spans="10:15" ht="12.75">
      <c r="J15" s="75" t="s">
        <v>76</v>
      </c>
      <c r="K15" s="76"/>
      <c r="L15" s="76"/>
      <c r="M15" s="76"/>
      <c r="N15" s="76"/>
      <c r="O15" s="77"/>
    </row>
    <row r="16" spans="4:15" ht="12.75">
      <c r="D16" s="63">
        <v>45</v>
      </c>
      <c r="I16" s="64">
        <v>76</v>
      </c>
      <c r="J16" s="78"/>
      <c r="K16" s="79"/>
      <c r="L16" s="79"/>
      <c r="M16" s="79"/>
      <c r="N16" s="79"/>
      <c r="O16" s="80"/>
    </row>
    <row r="17" spans="10:15" ht="12.75">
      <c r="J17" s="78"/>
      <c r="K17" s="79"/>
      <c r="L17" s="79"/>
      <c r="M17" s="79"/>
      <c r="N17" s="79"/>
      <c r="O17" s="80"/>
    </row>
    <row r="18" spans="10:15" ht="12.75">
      <c r="J18" s="78"/>
      <c r="K18" s="79"/>
      <c r="L18" s="79"/>
      <c r="M18" s="30" t="s">
        <v>89</v>
      </c>
      <c r="N18" s="9"/>
      <c r="O18" s="80"/>
    </row>
    <row r="19" spans="10:15" ht="12.75">
      <c r="J19" s="78"/>
      <c r="K19" s="79"/>
      <c r="L19" s="79"/>
      <c r="M19" s="10" t="s">
        <v>95</v>
      </c>
      <c r="N19" s="12"/>
      <c r="O19" s="80"/>
    </row>
    <row r="20" spans="10:15" ht="12.75">
      <c r="J20" s="78"/>
      <c r="K20" s="79"/>
      <c r="L20" s="79"/>
      <c r="M20" s="10" t="s">
        <v>93</v>
      </c>
      <c r="N20" s="12"/>
      <c r="O20" s="80"/>
    </row>
    <row r="21" spans="10:15" ht="12.75">
      <c r="J21" s="78"/>
      <c r="K21" s="79"/>
      <c r="L21" s="79"/>
      <c r="M21" s="13" t="s">
        <v>97</v>
      </c>
      <c r="N21" s="14"/>
      <c r="O21" s="80"/>
    </row>
    <row r="22" spans="10:15" ht="12.75" customHeight="1">
      <c r="J22" s="78"/>
      <c r="K22" s="79"/>
      <c r="L22" s="79"/>
      <c r="M22" s="79"/>
      <c r="N22" s="79"/>
      <c r="O22" s="80"/>
    </row>
    <row r="23" spans="10:15" ht="12.75" customHeight="1">
      <c r="J23" s="78"/>
      <c r="K23" s="79"/>
      <c r="L23" s="79"/>
      <c r="M23" s="79"/>
      <c r="N23" s="79"/>
      <c r="O23" s="80"/>
    </row>
    <row r="24" spans="10:15" ht="38.25">
      <c r="J24" s="78"/>
      <c r="K24" s="79"/>
      <c r="L24" s="79"/>
      <c r="M24" s="79"/>
      <c r="N24" s="161" t="str">
        <f>IF(K7/K6&gt;1,CONCATENATE("Flächendichte ",ROUND((K7/K6-1)*100,0),"% zu groß."),CONCATENATE("Flächendichte ",ROUND((1-K7/K6)*100,0),"% zu klein."))</f>
        <v>Flächendichte 2% zu groß.</v>
      </c>
      <c r="O24" s="80"/>
    </row>
    <row r="25" spans="10:15" ht="12.75">
      <c r="J25" s="78"/>
      <c r="K25" s="79"/>
      <c r="L25" s="79"/>
      <c r="M25" s="79" t="s">
        <v>91</v>
      </c>
      <c r="N25" s="162"/>
      <c r="O25" s="80"/>
    </row>
    <row r="26" spans="10:15" ht="12.75">
      <c r="J26" s="78"/>
      <c r="K26" s="79"/>
      <c r="L26" s="79"/>
      <c r="M26" s="79"/>
      <c r="N26" s="163"/>
      <c r="O26" s="80"/>
    </row>
    <row r="27" spans="10:15" ht="12.75">
      <c r="J27" s="78"/>
      <c r="K27" s="79"/>
      <c r="L27" s="79"/>
      <c r="M27" s="79"/>
      <c r="N27" s="79"/>
      <c r="O27" s="80"/>
    </row>
    <row r="28" spans="10:15" ht="12.75">
      <c r="J28" s="78"/>
      <c r="K28" s="79"/>
      <c r="L28" s="79"/>
      <c r="M28" s="79"/>
      <c r="N28" s="79"/>
      <c r="O28" s="80"/>
    </row>
    <row r="29" spans="10:15" ht="12.75">
      <c r="J29" s="78"/>
      <c r="K29" s="79"/>
      <c r="L29" s="79"/>
      <c r="M29" s="79"/>
      <c r="N29" s="79"/>
      <c r="O29" s="80"/>
    </row>
    <row r="30" spans="10:15" ht="12.75">
      <c r="J30" s="78"/>
      <c r="K30" s="79"/>
      <c r="L30" s="79"/>
      <c r="M30" s="30" t="s">
        <v>90</v>
      </c>
      <c r="N30" s="9"/>
      <c r="O30" s="80"/>
    </row>
    <row r="31" spans="10:15" ht="15.75" customHeight="1">
      <c r="J31" s="78"/>
      <c r="K31" s="79"/>
      <c r="L31" s="79"/>
      <c r="M31" s="10" t="s">
        <v>92</v>
      </c>
      <c r="N31" s="12"/>
      <c r="O31" s="80"/>
    </row>
    <row r="32" spans="10:15" ht="12.75">
      <c r="J32" s="78"/>
      <c r="K32" s="79"/>
      <c r="L32" s="79"/>
      <c r="M32" s="10" t="s">
        <v>96</v>
      </c>
      <c r="N32" s="12"/>
      <c r="O32" s="80"/>
    </row>
    <row r="33" spans="10:15" ht="12.75">
      <c r="J33" s="78"/>
      <c r="K33" s="79"/>
      <c r="L33" s="79"/>
      <c r="M33" s="13" t="s">
        <v>94</v>
      </c>
      <c r="N33" s="14"/>
      <c r="O33" s="80"/>
    </row>
    <row r="34" spans="10:15" ht="12.75">
      <c r="J34" s="81"/>
      <c r="K34" s="83"/>
      <c r="L34" s="83"/>
      <c r="M34" s="83"/>
      <c r="N34" s="83"/>
      <c r="O34" s="82"/>
    </row>
    <row r="36" ht="12.75">
      <c r="J36" s="42" t="s">
        <v>131</v>
      </c>
    </row>
  </sheetData>
  <sheetProtection selectLockedCells="1"/>
  <mergeCells count="4">
    <mergeCell ref="A1:N1"/>
    <mergeCell ref="A2:N2"/>
    <mergeCell ref="A4:A12"/>
    <mergeCell ref="H4:H11"/>
  </mergeCells>
  <conditionalFormatting sqref="F7">
    <cfRule type="cellIs" priority="1" dxfId="0" operator="equal" stopIfTrue="1">
      <formula>"ok"</formula>
    </cfRule>
    <cfRule type="cellIs" priority="2" dxfId="1" operator="equal" stopIfTrue="1">
      <formula>"zu groß!"</formula>
    </cfRule>
    <cfRule type="cellIs" priority="3" dxfId="1" operator="equal" stopIfTrue="1">
      <formula>"zu klein!"</formula>
    </cfRule>
  </conditionalFormatting>
  <conditionalFormatting sqref="F5 F8">
    <cfRule type="cellIs" priority="4" dxfId="1" operator="equal" stopIfTrue="1">
      <formula>"kritisch!"</formula>
    </cfRule>
  </conditionalFormatting>
  <hyperlinks>
    <hyperlink ref="H13" r:id="rId1" display="http://www.otherpower.com/images/scimages/4947/tsr.jpg"/>
  </hyperlinks>
  <printOptions/>
  <pageMargins left="0.75" right="0.75" top="1" bottom="1" header="0.4921259845" footer="0.4921259845"/>
  <pageSetup horizontalDpi="300" verticalDpi="300" orientation="landscape" paperSize="9" scale="80" r:id="rId5"/>
  <drawing r:id="rId4"/>
  <legacyDrawing r:id="rId3"/>
</worksheet>
</file>

<file path=xl/worksheets/sheet3.xml><?xml version="1.0" encoding="utf-8"?>
<worksheet xmlns="http://schemas.openxmlformats.org/spreadsheetml/2006/main" xmlns:r="http://schemas.openxmlformats.org/officeDocument/2006/relationships">
  <sheetPr codeName="Tabelle2">
    <tabColor indexed="41"/>
  </sheetPr>
  <dimension ref="A1:R28"/>
  <sheetViews>
    <sheetView workbookViewId="0" topLeftCell="A1">
      <selection activeCell="I28" sqref="I28"/>
    </sheetView>
  </sheetViews>
  <sheetFormatPr defaultColWidth="11.421875" defaultRowHeight="12.75"/>
  <cols>
    <col min="1" max="7" width="11.421875" style="42" customWidth="1"/>
    <col min="8" max="8" width="8.28125" style="42" customWidth="1"/>
    <col min="9" max="9" width="11.57421875" style="42" customWidth="1"/>
    <col min="10" max="10" width="11.8515625" style="42" customWidth="1"/>
    <col min="11" max="11" width="4.28125" style="42" customWidth="1"/>
    <col min="12" max="12" width="13.8515625" style="42" customWidth="1"/>
    <col min="13" max="13" width="19.421875" style="42" customWidth="1"/>
    <col min="14" max="16384" width="11.421875" style="42" customWidth="1"/>
  </cols>
  <sheetData>
    <row r="1" ht="18">
      <c r="A1" s="84" t="s">
        <v>84</v>
      </c>
    </row>
    <row r="2" ht="13.5" thickBot="1"/>
    <row r="3" spans="2:17" ht="23.25" thickBot="1">
      <c r="B3" s="11"/>
      <c r="C3" s="130" t="s">
        <v>35</v>
      </c>
      <c r="D3" s="131" t="s">
        <v>36</v>
      </c>
      <c r="E3" s="131" t="s">
        <v>37</v>
      </c>
      <c r="F3" s="132" t="s">
        <v>38</v>
      </c>
      <c r="G3" s="132" t="s">
        <v>39</v>
      </c>
      <c r="H3" s="182" t="s">
        <v>40</v>
      </c>
      <c r="I3" s="183"/>
      <c r="J3" s="184"/>
      <c r="Q3" s="42" t="s">
        <v>41</v>
      </c>
    </row>
    <row r="4" spans="1:18" s="70" customFormat="1" ht="26.25" thickBot="1">
      <c r="A4" s="15" t="s">
        <v>53</v>
      </c>
      <c r="B4" s="15" t="s">
        <v>42</v>
      </c>
      <c r="C4" s="15" t="s">
        <v>43</v>
      </c>
      <c r="D4" s="15" t="s">
        <v>44</v>
      </c>
      <c r="E4" s="15" t="s">
        <v>45</v>
      </c>
      <c r="F4" s="15" t="s">
        <v>46</v>
      </c>
      <c r="G4" s="21" t="s">
        <v>47</v>
      </c>
      <c r="H4" s="154" t="s">
        <v>48</v>
      </c>
      <c r="I4" s="155" t="s">
        <v>85</v>
      </c>
      <c r="J4" s="156" t="s">
        <v>86</v>
      </c>
      <c r="Q4" s="70">
        <v>2</v>
      </c>
      <c r="R4" s="70">
        <v>0.25</v>
      </c>
    </row>
    <row r="5" spans="1:18" ht="12.75" customHeight="1">
      <c r="A5" s="16">
        <v>0</v>
      </c>
      <c r="B5" s="17">
        <v>90</v>
      </c>
      <c r="C5" s="18">
        <f>B5-Auslegung!$D$9</f>
        <v>84</v>
      </c>
      <c r="D5" s="19">
        <f>(-Auslegung!D16)/2+10</f>
        <v>-12.5</v>
      </c>
      <c r="E5" s="18">
        <f>2*C5-D5</f>
        <v>180.5</v>
      </c>
      <c r="F5" s="18">
        <f>E5-D5</f>
        <v>193</v>
      </c>
      <c r="G5" s="22">
        <f>Auslegung!$D$7*SIN(F5*PI()/180/2)</f>
        <v>248.39296391914687</v>
      </c>
      <c r="H5" s="24">
        <f>A5*Auslegung!$D$6*1000</f>
        <v>0</v>
      </c>
      <c r="I5" s="25">
        <f>Auslegung!$D$7/2*D5*PI()/180</f>
        <v>-27.270769562411395</v>
      </c>
      <c r="J5" s="26">
        <f>Auslegung!$D$7/2*E5*PI()/180</f>
        <v>393.7899124812206</v>
      </c>
      <c r="K5" s="185"/>
      <c r="L5" s="185" t="s">
        <v>109</v>
      </c>
      <c r="M5" s="186" t="s">
        <v>98</v>
      </c>
      <c r="Q5" s="42">
        <v>3</v>
      </c>
      <c r="R5" s="42">
        <v>0.15</v>
      </c>
    </row>
    <row r="6" spans="1:18" ht="12.75">
      <c r="A6" s="16">
        <v>0.05</v>
      </c>
      <c r="B6" s="17">
        <f>ATAN(2/(3*A6*Auslegung!$D$5))*180/PI()</f>
        <v>77.72927964218468</v>
      </c>
      <c r="C6" s="18">
        <f>B6-Auslegung!$D$9</f>
        <v>71.72927964218468</v>
      </c>
      <c r="D6" s="19">
        <f aca="true" t="shared" si="0" ref="D6:D25">D5</f>
        <v>-12.5</v>
      </c>
      <c r="E6" s="18">
        <f aca="true" t="shared" si="1" ref="E6:E25">2*C6-D6</f>
        <v>155.95855928436936</v>
      </c>
      <c r="F6" s="18">
        <f aca="true" t="shared" si="2" ref="F6:F24">E6-D6</f>
        <v>168.45855928436936</v>
      </c>
      <c r="G6" s="22">
        <f>Auslegung!$D$7*SIN(F6*PI()/180/2)</f>
        <v>248.7330553331517</v>
      </c>
      <c r="H6" s="27">
        <f>A6*Auslegung!$D$6*1000</f>
        <v>37.50000000000001</v>
      </c>
      <c r="I6" s="28">
        <f>Auslegung!$D$7/2*D6*PI()/180</f>
        <v>-27.270769562411395</v>
      </c>
      <c r="J6" s="29">
        <f>Auslegung!$D$7/2*E6*PI()/180</f>
        <v>340.24879452237707</v>
      </c>
      <c r="K6" s="185"/>
      <c r="L6" s="185"/>
      <c r="M6" s="186"/>
      <c r="Q6" s="42">
        <v>4</v>
      </c>
      <c r="R6" s="42">
        <v>0.08</v>
      </c>
    </row>
    <row r="7" spans="1:18" ht="12.75">
      <c r="A7" s="16">
        <v>0.1</v>
      </c>
      <c r="B7" s="17">
        <f>ATAN(2/(3*A7*Auslegung!$D$5))*180/PI()</f>
        <v>66.49095977580754</v>
      </c>
      <c r="C7" s="18">
        <f>B7-Auslegung!$D$9</f>
        <v>60.49095977580754</v>
      </c>
      <c r="D7" s="19">
        <f t="shared" si="0"/>
        <v>-12.5</v>
      </c>
      <c r="E7" s="18">
        <f t="shared" si="1"/>
        <v>133.48191955161508</v>
      </c>
      <c r="F7" s="18">
        <f t="shared" si="2"/>
        <v>145.98191955161508</v>
      </c>
      <c r="G7" s="22">
        <f>Auslegung!$D$7*SIN(F7*PI()/180/2)</f>
        <v>239.0646532904091</v>
      </c>
      <c r="H7" s="27">
        <f>A7*Auslegung!$D$6*1000</f>
        <v>75.00000000000001</v>
      </c>
      <c r="I7" s="28">
        <f>Auslegung!$D$7/2*D7*PI()/180</f>
        <v>-27.270769562411395</v>
      </c>
      <c r="J7" s="29">
        <f>Auslegung!$D$7/2*E7*PI()/180</f>
        <v>291.21237350723453</v>
      </c>
      <c r="K7" s="185"/>
      <c r="L7" s="185"/>
      <c r="M7" s="186"/>
      <c r="Q7" s="42">
        <v>5</v>
      </c>
      <c r="R7" s="42">
        <v>0.065</v>
      </c>
    </row>
    <row r="8" spans="1:18" ht="12.75">
      <c r="A8" s="16">
        <v>0.15</v>
      </c>
      <c r="B8" s="17">
        <f>ATAN(2/(3*A8*Auslegung!$D$5))*180/PI()</f>
        <v>56.875551876033526</v>
      </c>
      <c r="C8" s="18">
        <f>B8-Auslegung!$D$9</f>
        <v>50.875551876033526</v>
      </c>
      <c r="D8" s="19">
        <f t="shared" si="0"/>
        <v>-12.5</v>
      </c>
      <c r="E8" s="18">
        <f t="shared" si="1"/>
        <v>114.25110375206705</v>
      </c>
      <c r="F8" s="18">
        <f t="shared" si="2"/>
        <v>126.75110375206705</v>
      </c>
      <c r="G8" s="22">
        <f>Auslegung!$D$7*SIN(F8*PI()/180/2)</f>
        <v>223.49077413140685</v>
      </c>
      <c r="H8" s="27">
        <f>A8*Auslegung!$D$6*1000</f>
        <v>112.49999999999999</v>
      </c>
      <c r="I8" s="28">
        <f>Auslegung!$D$7/2*D8*PI()/180</f>
        <v>-27.270769562411395</v>
      </c>
      <c r="J8" s="29">
        <f>Auslegung!$D$7/2*E8*PI()/180</f>
        <v>249.25724181390214</v>
      </c>
      <c r="K8" s="185"/>
      <c r="L8" s="185"/>
      <c r="M8" s="186"/>
      <c r="Q8" s="42">
        <v>6</v>
      </c>
      <c r="R8" s="42">
        <v>0.045</v>
      </c>
    </row>
    <row r="9" spans="1:18" ht="12.75">
      <c r="A9" s="16">
        <v>0.2</v>
      </c>
      <c r="B9" s="17">
        <f>ATAN(2/(3*A9*Auslegung!$D$5))*180/PI()</f>
        <v>48.97673097507757</v>
      </c>
      <c r="C9" s="18">
        <f>B9-Auslegung!$D$9</f>
        <v>42.97673097507757</v>
      </c>
      <c r="D9" s="19">
        <f t="shared" si="0"/>
        <v>-12.5</v>
      </c>
      <c r="E9" s="18">
        <f t="shared" si="1"/>
        <v>98.45346195015514</v>
      </c>
      <c r="F9" s="18">
        <f t="shared" si="2"/>
        <v>110.95346195015514</v>
      </c>
      <c r="G9" s="22">
        <f>Auslegung!$D$7*SIN(F9*PI()/180/2)</f>
        <v>205.97402278544365</v>
      </c>
      <c r="H9" s="133">
        <f>A9*Auslegung!$D$6*1000</f>
        <v>150.00000000000003</v>
      </c>
      <c r="I9" s="134">
        <f>Auslegung!$D$7/2*D9*PI()/180</f>
        <v>-27.270769562411395</v>
      </c>
      <c r="J9" s="135">
        <f>Auslegung!$D$7/2*E9*PI()/180</f>
        <v>214.79213387714557</v>
      </c>
      <c r="K9" s="112"/>
      <c r="L9" s="112">
        <f>-I9+J9</f>
        <v>242.06290343955698</v>
      </c>
      <c r="Q9" s="42">
        <v>7</v>
      </c>
      <c r="R9" s="42">
        <v>0.028</v>
      </c>
    </row>
    <row r="10" spans="1:18" ht="12.75">
      <c r="A10" s="16">
        <v>0.25</v>
      </c>
      <c r="B10" s="17">
        <f>ATAN(2/(3*A10*Auslegung!$D$5))*180/PI()</f>
        <v>42.59978553914336</v>
      </c>
      <c r="C10" s="18">
        <f>B10-Auslegung!$D$9</f>
        <v>36.59978553914336</v>
      </c>
      <c r="D10" s="19">
        <f t="shared" si="0"/>
        <v>-12.5</v>
      </c>
      <c r="E10" s="18">
        <f t="shared" si="1"/>
        <v>85.69957107828672</v>
      </c>
      <c r="F10" s="18">
        <f>E10-D10</f>
        <v>98.19957107828672</v>
      </c>
      <c r="G10" s="22">
        <f>Auslegung!$D$7*SIN(F10*PI()/180/2)</f>
        <v>188.9627546090022</v>
      </c>
      <c r="H10" s="133">
        <f>A10*Auslegung!$D$6*1000</f>
        <v>187.5</v>
      </c>
      <c r="I10" s="134">
        <f>Auslegung!$D$7/2*D10*PI()/180</f>
        <v>-27.270769562411395</v>
      </c>
      <c r="J10" s="135">
        <f>Auslegung!$D$7/2*E10*PI()/180</f>
        <v>186.96746035787632</v>
      </c>
      <c r="K10" s="112"/>
      <c r="Q10" s="42">
        <v>8</v>
      </c>
      <c r="R10" s="42">
        <v>0.026</v>
      </c>
    </row>
    <row r="11" spans="1:18" ht="12.75">
      <c r="A11" s="16">
        <v>0.3</v>
      </c>
      <c r="B11" s="17">
        <f>ATAN(2/(3*A11*Auslegung!$D$5))*180/PI()</f>
        <v>37.462351135359626</v>
      </c>
      <c r="C11" s="18">
        <f>B11-Auslegung!$D$9</f>
        <v>31.462351135359626</v>
      </c>
      <c r="D11" s="19">
        <f t="shared" si="0"/>
        <v>-12.5</v>
      </c>
      <c r="E11" s="18">
        <f t="shared" si="1"/>
        <v>75.42470227071925</v>
      </c>
      <c r="F11" s="18">
        <f t="shared" si="2"/>
        <v>87.92470227071925</v>
      </c>
      <c r="G11" s="22">
        <f>Auslegung!$D$7*SIN(F11*PI()/180/2)</f>
        <v>173.5463861883283</v>
      </c>
      <c r="H11" s="136">
        <f>A11*Auslegung!$D$6*1000</f>
        <v>224.99999999999997</v>
      </c>
      <c r="I11" s="137">
        <f>Auslegung!$D$7/2*D11*PI()/180</f>
        <v>-27.270769562411395</v>
      </c>
      <c r="J11" s="138">
        <f>Auslegung!$D$7/2*E11*PI()/180</f>
        <v>164.5511739950618</v>
      </c>
      <c r="K11" s="112"/>
      <c r="Q11" s="42">
        <v>9</v>
      </c>
      <c r="R11" s="42">
        <v>0.021</v>
      </c>
    </row>
    <row r="12" spans="1:11" ht="12.75">
      <c r="A12" s="16">
        <v>0.35</v>
      </c>
      <c r="B12" s="17">
        <f>ATAN(2/(3*A12*Auslegung!$D$5))*180/PI()</f>
        <v>33.29748743771642</v>
      </c>
      <c r="C12" s="18">
        <f>B12-Auslegung!$D$9</f>
        <v>27.29748743771642</v>
      </c>
      <c r="D12" s="19">
        <f t="shared" si="0"/>
        <v>-12.5</v>
      </c>
      <c r="E12" s="18">
        <f>2*C12-D12</f>
        <v>67.09497487543284</v>
      </c>
      <c r="F12" s="18">
        <f t="shared" si="2"/>
        <v>79.59497487543284</v>
      </c>
      <c r="G12" s="22">
        <f>Auslegung!$D$7*SIN(F12*PI()/180/2)</f>
        <v>160.01900193204256</v>
      </c>
      <c r="H12" s="133">
        <f>A12*Auslegung!$D$6*1000</f>
        <v>262.49999999999994</v>
      </c>
      <c r="I12" s="134">
        <f>Auslegung!$D$7/2*D12*PI()/180</f>
        <v>-27.270769562411395</v>
      </c>
      <c r="J12" s="135">
        <f>Auslegung!$D$7/2*E12*PI()/180</f>
        <v>146.37852788989693</v>
      </c>
      <c r="K12" s="112"/>
    </row>
    <row r="13" spans="1:11" ht="12.75">
      <c r="A13" s="16">
        <v>0.4</v>
      </c>
      <c r="B13" s="17">
        <f>ATAN(2/(3*A13*Auslegung!$D$5))*180/PI()</f>
        <v>29.886526940424034</v>
      </c>
      <c r="C13" s="18">
        <f>B13-Auslegung!$D$9</f>
        <v>23.886526940424034</v>
      </c>
      <c r="D13" s="19">
        <f t="shared" si="0"/>
        <v>-12.5</v>
      </c>
      <c r="E13" s="18">
        <f t="shared" si="1"/>
        <v>60.27305388084807</v>
      </c>
      <c r="F13" s="18">
        <f t="shared" si="2"/>
        <v>72.77305388084807</v>
      </c>
      <c r="G13" s="22">
        <f>Auslegung!$D$7*SIN(F13*PI()/180/2)</f>
        <v>148.30740000653373</v>
      </c>
      <c r="H13" s="136">
        <f>A13*Auslegung!$D$6*1000</f>
        <v>300.00000000000006</v>
      </c>
      <c r="I13" s="137">
        <f>Auslegung!$D$7/2*D13*PI()/180</f>
        <v>-27.270769562411395</v>
      </c>
      <c r="J13" s="138">
        <f>Auslegung!$D$7/2*E13*PI()/180</f>
        <v>131.49540505659309</v>
      </c>
      <c r="K13" s="112"/>
    </row>
    <row r="14" spans="1:11" ht="12.75">
      <c r="A14" s="16">
        <v>0.45</v>
      </c>
      <c r="B14" s="17">
        <f>ATAN(2/(3*A14*Auslegung!$D$5))*180/PI()</f>
        <v>27.060475376767016</v>
      </c>
      <c r="C14" s="18">
        <f>B14-Auslegung!$D$9</f>
        <v>21.060475376767016</v>
      </c>
      <c r="D14" s="19">
        <f t="shared" si="0"/>
        <v>-12.5</v>
      </c>
      <c r="E14" s="18">
        <f t="shared" si="1"/>
        <v>54.62095075353403</v>
      </c>
      <c r="F14" s="18">
        <f t="shared" si="2"/>
        <v>67.12095075353403</v>
      </c>
      <c r="G14" s="22">
        <f>Auslegung!$D$7*SIN(F14*PI()/180/2)</f>
        <v>138.20420988761137</v>
      </c>
      <c r="H14" s="133">
        <f>A14*Auslegung!$D$6*1000</f>
        <v>337.5</v>
      </c>
      <c r="I14" s="134">
        <f>Auslegung!$D$7/2*D14*PI()/180</f>
        <v>-27.270769562411395</v>
      </c>
      <c r="J14" s="135">
        <f>Auslegung!$D$7/2*E14*PI()/180</f>
        <v>119.16442890235582</v>
      </c>
      <c r="K14" s="112"/>
    </row>
    <row r="15" spans="1:11" ht="12.75">
      <c r="A15" s="16">
        <v>0.5</v>
      </c>
      <c r="B15" s="17">
        <f>ATAN(2/(3*A15*Auslegung!$D$5))*180/PI()</f>
        <v>24.691558163478067</v>
      </c>
      <c r="C15" s="18">
        <f>B15-Auslegung!$D$9</f>
        <v>18.691558163478067</v>
      </c>
      <c r="D15" s="19">
        <f t="shared" si="0"/>
        <v>-12.5</v>
      </c>
      <c r="E15" s="18">
        <f t="shared" si="1"/>
        <v>49.883116326956134</v>
      </c>
      <c r="F15" s="18">
        <f t="shared" si="2"/>
        <v>62.383116326956134</v>
      </c>
      <c r="G15" s="22">
        <f>Auslegung!$D$7*SIN(F15*PI()/180/2)</f>
        <v>129.47524405660016</v>
      </c>
      <c r="H15" s="133">
        <f>A15*Auslegung!$D$6*1000</f>
        <v>375</v>
      </c>
      <c r="I15" s="134">
        <f>Auslegung!$D$7/2*D15*PI()/180</f>
        <v>-27.270769562411395</v>
      </c>
      <c r="J15" s="135">
        <f>Auslegung!$D$7/2*E15*PI()/180</f>
        <v>108.82807763259059</v>
      </c>
      <c r="K15" s="112"/>
    </row>
    <row r="16" spans="1:11" ht="12.75">
      <c r="A16" s="16">
        <v>0.55</v>
      </c>
      <c r="B16" s="17">
        <f>ATAN(2/(3*A16*Auslegung!$D$5))*180/PI()</f>
        <v>22.68360243974756</v>
      </c>
      <c r="C16" s="18">
        <f>B16-Auslegung!$D$9</f>
        <v>16.68360243974756</v>
      </c>
      <c r="D16" s="19">
        <f t="shared" si="0"/>
        <v>-12.5</v>
      </c>
      <c r="E16" s="18">
        <f t="shared" si="1"/>
        <v>45.86720487949512</v>
      </c>
      <c r="F16" s="18">
        <f t="shared" si="2"/>
        <v>58.36720487949512</v>
      </c>
      <c r="G16" s="22">
        <f>Auslegung!$D$7*SIN(F16*PI()/180/2)</f>
        <v>121.90245408946326</v>
      </c>
      <c r="H16" s="133">
        <f>A16*Auslegung!$D$6*1000</f>
        <v>412.50000000000006</v>
      </c>
      <c r="I16" s="134">
        <f>Auslegung!$D$7/2*D16*PI()/180</f>
        <v>-27.270769562411395</v>
      </c>
      <c r="J16" s="135">
        <f>Auslegung!$D$7/2*E16*PI()/180</f>
        <v>100.06671797924986</v>
      </c>
      <c r="K16" s="112"/>
    </row>
    <row r="17" spans="1:11" ht="12.75">
      <c r="A17" s="16">
        <v>0.6</v>
      </c>
      <c r="B17" s="17">
        <f>ATAN(2/(3*A17*Auslegung!$D$5))*180/PI()</f>
        <v>20.96392285690318</v>
      </c>
      <c r="C17" s="18">
        <f>B17-Auslegung!$D$9</f>
        <v>14.963922856903181</v>
      </c>
      <c r="D17" s="19">
        <f t="shared" si="0"/>
        <v>-12.5</v>
      </c>
      <c r="E17" s="18">
        <f t="shared" si="1"/>
        <v>42.42784571380636</v>
      </c>
      <c r="F17" s="18">
        <f t="shared" si="2"/>
        <v>54.92784571380636</v>
      </c>
      <c r="G17" s="22">
        <f>Auslegung!$D$7*SIN(F17*PI()/180/2)</f>
        <v>115.2975005299101</v>
      </c>
      <c r="H17" s="133">
        <f>A17*Auslegung!$D$6*1000</f>
        <v>449.99999999999994</v>
      </c>
      <c r="I17" s="134">
        <f>Auslegung!$D$7/2*D17*PI()/180</f>
        <v>-27.270769562411395</v>
      </c>
      <c r="J17" s="135">
        <f>Auslegung!$D$7/2*E17*PI()/180</f>
        <v>92.5632002792606</v>
      </c>
      <c r="K17" s="112"/>
    </row>
    <row r="18" spans="1:11" ht="12.75">
      <c r="A18" s="16">
        <v>0.65</v>
      </c>
      <c r="B18" s="17">
        <f>ATAN(2/(3*A18*Auslegung!$D$5))*180/PI()</f>
        <v>19.477124614144568</v>
      </c>
      <c r="C18" s="18">
        <f>B18-Auslegung!$D$9</f>
        <v>13.477124614144568</v>
      </c>
      <c r="D18" s="19">
        <f t="shared" si="0"/>
        <v>-12.5</v>
      </c>
      <c r="E18" s="18">
        <f t="shared" si="1"/>
        <v>39.454249228289136</v>
      </c>
      <c r="F18" s="18">
        <f t="shared" si="2"/>
        <v>51.954249228289136</v>
      </c>
      <c r="G18" s="22">
        <f>Auslegung!$D$7*SIN(F18*PI()/180/2)</f>
        <v>109.50306690434775</v>
      </c>
      <c r="H18" s="133">
        <f>A18*Auslegung!$D$6*1000</f>
        <v>487.50000000000006</v>
      </c>
      <c r="I18" s="134">
        <f>Auslegung!$D$7/2*D18*PI()/180</f>
        <v>-27.270769562411395</v>
      </c>
      <c r="J18" s="135">
        <f>Auslegung!$D$7/2*E18*PI()/180</f>
        <v>86.07581911700966</v>
      </c>
      <c r="K18" s="112"/>
    </row>
    <row r="19" spans="1:11" ht="12.75">
      <c r="A19" s="16">
        <v>0.7</v>
      </c>
      <c r="B19" s="17">
        <f>ATAN(2/(3*A19*Auslegung!$D$5))*180/PI()</f>
        <v>18.180553841644645</v>
      </c>
      <c r="C19" s="18">
        <f>B19-Auslegung!$D$9</f>
        <v>12.180553841644645</v>
      </c>
      <c r="D19" s="19">
        <f t="shared" si="0"/>
        <v>-12.5</v>
      </c>
      <c r="E19" s="18">
        <f t="shared" si="1"/>
        <v>36.86110768328929</v>
      </c>
      <c r="F19" s="18">
        <f t="shared" si="2"/>
        <v>49.36110768328929</v>
      </c>
      <c r="G19" s="22">
        <f>Auslegung!$D$7*SIN(F19*PI()/180/2)</f>
        <v>104.38967563181463</v>
      </c>
      <c r="H19" s="136">
        <f>A19*Auslegung!$D$6*1000</f>
        <v>524.9999999999999</v>
      </c>
      <c r="I19" s="137">
        <f>Auslegung!$D$7/2*D19*PI()/180</f>
        <v>-27.270769562411395</v>
      </c>
      <c r="J19" s="138">
        <f>Auslegung!$D$7/2*E19*PI()/180</f>
        <v>80.41846187569716</v>
      </c>
      <c r="K19" s="112"/>
    </row>
    <row r="20" spans="1:11" ht="12.75">
      <c r="A20" s="16">
        <v>0.75</v>
      </c>
      <c r="B20" s="17">
        <f>ATAN(2/(3*A20*Auslegung!$D$5))*180/PI()</f>
        <v>17.041004479585197</v>
      </c>
      <c r="C20" s="18">
        <f>B20-Auslegung!$D$9</f>
        <v>11.041004479585197</v>
      </c>
      <c r="D20" s="19">
        <f t="shared" si="0"/>
        <v>-12.5</v>
      </c>
      <c r="E20" s="18">
        <f t="shared" si="1"/>
        <v>34.582008959170395</v>
      </c>
      <c r="F20" s="18">
        <f t="shared" si="2"/>
        <v>47.082008959170395</v>
      </c>
      <c r="G20" s="22">
        <f>Auslegung!$D$7*SIN(F20*PI()/180/2)</f>
        <v>99.85131822024857</v>
      </c>
      <c r="H20" s="133">
        <f>A20*Auslegung!$D$6*1000</f>
        <v>562.5</v>
      </c>
      <c r="I20" s="134">
        <f>Auslegung!$D$7/2*D20*PI()/180</f>
        <v>-27.270769562411395</v>
      </c>
      <c r="J20" s="135">
        <f>Auslegung!$D$7/2*E20*PI()/180</f>
        <v>75.44623978646258</v>
      </c>
      <c r="K20" s="112"/>
    </row>
    <row r="21" spans="1:11" ht="12.75">
      <c r="A21" s="16">
        <v>0.8</v>
      </c>
      <c r="B21" s="17">
        <f>ATAN(2/(3*A21*Auslegung!$D$5))*180/PI()</f>
        <v>16.032339353935967</v>
      </c>
      <c r="C21" s="18">
        <f>B21-Auslegung!$D$9</f>
        <v>10.032339353935967</v>
      </c>
      <c r="D21" s="19">
        <f t="shared" si="0"/>
        <v>-12.5</v>
      </c>
      <c r="E21" s="18">
        <f t="shared" si="1"/>
        <v>32.564678707871934</v>
      </c>
      <c r="F21" s="18">
        <f t="shared" si="2"/>
        <v>45.064678707871934</v>
      </c>
      <c r="G21" s="22">
        <f>Auslegung!$D$7*SIN(F21*PI()/180/2)</f>
        <v>95.80120876132492</v>
      </c>
      <c r="H21" s="133">
        <f>A21*Auslegung!$D$6*1000</f>
        <v>600.0000000000001</v>
      </c>
      <c r="I21" s="134">
        <f>Auslegung!$D$7/2*D21*PI()/180</f>
        <v>-27.270769562411395</v>
      </c>
      <c r="J21" s="135">
        <f>Auslegung!$D$7/2*E21*PI()/180</f>
        <v>71.04510791330723</v>
      </c>
      <c r="K21" s="112"/>
    </row>
    <row r="22" spans="1:11" ht="12.75">
      <c r="A22" s="16">
        <v>0.85</v>
      </c>
      <c r="B22" s="17">
        <f>ATAN(2/(3*A22*Auslegung!$D$5))*180/PI()</f>
        <v>15.133764265373257</v>
      </c>
      <c r="C22" s="18">
        <f>B22-Auslegung!$D$9</f>
        <v>9.133764265373257</v>
      </c>
      <c r="D22" s="19">
        <f t="shared" si="0"/>
        <v>-12.5</v>
      </c>
      <c r="E22" s="18">
        <f t="shared" si="1"/>
        <v>30.767528530746514</v>
      </c>
      <c r="F22" s="18">
        <f t="shared" si="2"/>
        <v>43.26752853074652</v>
      </c>
      <c r="G22" s="22">
        <f>Auslegung!$D$7*SIN(F22*PI()/180/2)</f>
        <v>92.16810094632147</v>
      </c>
      <c r="H22" s="133">
        <f>A22*Auslegung!$D$6*1000</f>
        <v>637.5</v>
      </c>
      <c r="I22" s="134">
        <f>Auslegung!$D$7/2*D22*PI()/180</f>
        <v>-27.270769562411395</v>
      </c>
      <c r="J22" s="135">
        <f>Auslegung!$D$7/2*E22*PI()/180</f>
        <v>67.1243344453525</v>
      </c>
      <c r="K22" s="112"/>
    </row>
    <row r="23" spans="1:11" ht="12.75">
      <c r="A23" s="16">
        <v>0.9</v>
      </c>
      <c r="B23" s="17">
        <f>ATAN(2/(3*A23*Auslegung!$D$5))*180/PI()</f>
        <v>14.328566337155033</v>
      </c>
      <c r="C23" s="18">
        <f>B23-Auslegung!$D$9</f>
        <v>8.328566337155033</v>
      </c>
      <c r="D23" s="19">
        <f t="shared" si="0"/>
        <v>-12.5</v>
      </c>
      <c r="E23" s="18">
        <f t="shared" si="1"/>
        <v>29.157132674310066</v>
      </c>
      <c r="F23" s="18">
        <f t="shared" si="2"/>
        <v>41.65713267431006</v>
      </c>
      <c r="G23" s="22">
        <f>Auslegung!$D$7*SIN(F23*PI()/180/2)</f>
        <v>88.89325012405656</v>
      </c>
      <c r="H23" s="133">
        <f>A23*Auslegung!$D$6*1000</f>
        <v>675</v>
      </c>
      <c r="I23" s="134">
        <f>Auslegung!$D$7/2*D23*PI()/180</f>
        <v>-27.270769562411395</v>
      </c>
      <c r="J23" s="135">
        <f>Auslegung!$D$7/2*E23*PI()/180</f>
        <v>63.61099570094127</v>
      </c>
      <c r="K23" s="112"/>
    </row>
    <row r="24" spans="1:11" ht="12.75">
      <c r="A24" s="16">
        <v>0.95</v>
      </c>
      <c r="B24" s="17">
        <f>ATAN(2/(3*A24*Auslegung!$D$5))*180/PI()</f>
        <v>13.603183215895166</v>
      </c>
      <c r="C24" s="18">
        <f>B24-Auslegung!$D$9</f>
        <v>7.603183215895166</v>
      </c>
      <c r="D24" s="19">
        <f t="shared" si="0"/>
        <v>-12.5</v>
      </c>
      <c r="E24" s="18">
        <f t="shared" si="1"/>
        <v>27.706366431790332</v>
      </c>
      <c r="F24" s="18">
        <f t="shared" si="2"/>
        <v>40.20636643179033</v>
      </c>
      <c r="G24" s="22">
        <f>Auslegung!$D$7*SIN(F24*PI()/180/2)</f>
        <v>85.92796696907877</v>
      </c>
      <c r="H24" s="133">
        <f>A24*Auslegung!$D$6*1000</f>
        <v>712.4999999999999</v>
      </c>
      <c r="I24" s="134">
        <f>Auslegung!$D$7/2*D24*PI()/180</f>
        <v>-27.270769562411395</v>
      </c>
      <c r="J24" s="135">
        <f>Auslegung!$D$7/2*E24*PI()/180</f>
        <v>60.44591474984678</v>
      </c>
      <c r="K24" s="112"/>
    </row>
    <row r="25" spans="1:12" ht="13.5" thickBot="1">
      <c r="A25" s="16">
        <v>1</v>
      </c>
      <c r="B25" s="17">
        <f>ATAN(2/(3*A25*Auslegung!$D$5))*180/PI()</f>
        <v>12.946509515636933</v>
      </c>
      <c r="C25" s="18">
        <f>B25-Auslegung!$D$9</f>
        <v>6.946509515636933</v>
      </c>
      <c r="D25" s="19">
        <f t="shared" si="0"/>
        <v>-12.5</v>
      </c>
      <c r="E25" s="18">
        <f t="shared" si="1"/>
        <v>26.393019031273866</v>
      </c>
      <c r="F25" s="18">
        <f>E25-D25</f>
        <v>38.893019031273866</v>
      </c>
      <c r="G25" s="22">
        <f>Auslegung!$D$7*SIN(F25*PI()/180/2)</f>
        <v>83.23166946717849</v>
      </c>
      <c r="H25" s="139">
        <f>A25*Auslegung!$D$6*1000</f>
        <v>750</v>
      </c>
      <c r="I25" s="140">
        <f>Auslegung!$D$7/2*D25*PI()/180</f>
        <v>-27.270769562411395</v>
      </c>
      <c r="J25" s="141">
        <f>Auslegung!$D$7/2*E25*PI()/180</f>
        <v>57.58063520465665</v>
      </c>
      <c r="K25" s="112"/>
      <c r="L25" s="112">
        <f>-I25+J25</f>
        <v>84.85140476706805</v>
      </c>
    </row>
    <row r="26" spans="1:10" ht="12.75">
      <c r="A26" s="20"/>
      <c r="B26" s="20"/>
      <c r="C26" s="20"/>
      <c r="D26" s="20"/>
      <c r="E26" s="20"/>
      <c r="F26" s="20"/>
      <c r="G26" s="20"/>
      <c r="H26" s="143">
        <f>H25</f>
        <v>750</v>
      </c>
      <c r="I26" s="23"/>
      <c r="J26" s="142">
        <f>I25</f>
        <v>-27.270769562411395</v>
      </c>
    </row>
    <row r="27" spans="1:10" ht="12.75">
      <c r="A27" s="67"/>
      <c r="B27" s="67"/>
      <c r="C27" s="67"/>
      <c r="D27" s="67"/>
      <c r="E27" s="67"/>
      <c r="F27" s="67"/>
      <c r="G27" s="170" t="s">
        <v>135</v>
      </c>
      <c r="H27" s="168"/>
      <c r="I27" s="67"/>
      <c r="J27" s="169"/>
    </row>
    <row r="28" spans="1:10" ht="12.75">
      <c r="A28" s="67"/>
      <c r="B28" s="67"/>
      <c r="C28" s="67"/>
      <c r="D28" s="67"/>
      <c r="E28" s="67"/>
      <c r="F28" s="67"/>
      <c r="G28" s="170">
        <f>AVERAGE(G9:G25)</f>
        <v>125.96795477113565</v>
      </c>
      <c r="H28" s="168"/>
      <c r="I28" s="67"/>
      <c r="J28" s="169"/>
    </row>
    <row r="31" ht="12.75"/>
    <row r="32" ht="12.75"/>
    <row r="35" ht="12.75"/>
    <row r="36" ht="12.75"/>
    <row r="39" ht="12.75"/>
    <row r="41" ht="12.75"/>
    <row r="42" ht="12.75"/>
    <row r="43" ht="12.75"/>
    <row r="44" ht="12.75"/>
    <row r="45" ht="12.75"/>
    <row r="46" ht="12.75"/>
    <row r="47" ht="12.75"/>
  </sheetData>
  <sheetProtection selectLockedCells="1"/>
  <mergeCells count="4">
    <mergeCell ref="H3:J3"/>
    <mergeCell ref="K5:K8"/>
    <mergeCell ref="L5:L8"/>
    <mergeCell ref="M5:M8"/>
  </mergeCells>
  <conditionalFormatting sqref="F5:F25">
    <cfRule type="cellIs" priority="1" dxfId="2" operator="greaterThan" stopIfTrue="1">
      <formula>90</formula>
    </cfRule>
  </conditionalFormatting>
  <printOptions/>
  <pageMargins left="0.5201388888888889" right="0.4701388888888889" top="0.9840277777777777" bottom="0.9840277777777777" header="0.5118055555555555" footer="0.5118055555555555"/>
  <pageSetup horizontalDpi="300" verticalDpi="300" orientation="portrait" paperSize="9" r:id="rId9"/>
  <drawing r:id="rId8"/>
  <legacyDrawing r:id="rId7"/>
  <oleObjects>
    <oleObject progId="Equation.3" shapeId="11521144" r:id="rId2"/>
    <oleObject progId="Equation.3" shapeId="11523490" r:id="rId3"/>
    <oleObject progId="Equation.3" shapeId="11526150" r:id="rId4"/>
    <oleObject progId="Equation.3" shapeId="11529268" r:id="rId5"/>
    <oleObject progId="Equation.3" shapeId="11672767" r:id="rId6"/>
  </oleObjects>
</worksheet>
</file>

<file path=xl/worksheets/sheet4.xml><?xml version="1.0" encoding="utf-8"?>
<worksheet xmlns="http://schemas.openxmlformats.org/spreadsheetml/2006/main" xmlns:r="http://schemas.openxmlformats.org/officeDocument/2006/relationships">
  <sheetPr codeName="Tabelle3">
    <tabColor indexed="46"/>
  </sheetPr>
  <dimension ref="A1:S58"/>
  <sheetViews>
    <sheetView workbookViewId="0" topLeftCell="A1">
      <selection activeCell="E15" sqref="E15"/>
    </sheetView>
  </sheetViews>
  <sheetFormatPr defaultColWidth="11.421875" defaultRowHeight="12.75"/>
  <cols>
    <col min="1" max="1" width="12.8515625" style="42" customWidth="1"/>
    <col min="2" max="2" width="10.57421875" style="42" bestFit="1" customWidth="1"/>
    <col min="3" max="3" width="15.00390625" style="42" customWidth="1"/>
    <col min="4" max="4" width="14.140625" style="42" bestFit="1" customWidth="1"/>
    <col min="5" max="6" width="15.7109375" style="42" customWidth="1"/>
    <col min="7" max="8" width="11.421875" style="42" customWidth="1"/>
    <col min="9" max="9" width="9.421875" style="42" bestFit="1" customWidth="1"/>
    <col min="10" max="10" width="9.8515625" style="42" bestFit="1" customWidth="1"/>
    <col min="11" max="11" width="8.57421875" style="42" customWidth="1"/>
    <col min="12" max="12" width="8.57421875" style="42" bestFit="1" customWidth="1"/>
    <col min="13" max="16384" width="11.421875" style="42" customWidth="1"/>
  </cols>
  <sheetData>
    <row r="1" spans="1:10" ht="15.75">
      <c r="A1" s="98" t="s">
        <v>22</v>
      </c>
      <c r="B1" s="87"/>
      <c r="C1" s="87" t="s">
        <v>103</v>
      </c>
      <c r="D1" s="87"/>
      <c r="E1" s="87"/>
      <c r="F1" s="87"/>
      <c r="G1" s="87"/>
      <c r="H1" s="87"/>
      <c r="I1" s="87"/>
      <c r="J1" s="99"/>
    </row>
    <row r="2" spans="1:10" ht="12.75">
      <c r="A2" s="90"/>
      <c r="B2" s="11"/>
      <c r="C2" s="11"/>
      <c r="D2" s="11"/>
      <c r="E2" s="11"/>
      <c r="F2" s="11"/>
      <c r="G2" s="11"/>
      <c r="H2" s="11"/>
      <c r="I2" s="11"/>
      <c r="J2" s="100"/>
    </row>
    <row r="3" spans="1:10" ht="12.75">
      <c r="A3" s="124" t="s">
        <v>61</v>
      </c>
      <c r="B3" s="15" t="s">
        <v>62</v>
      </c>
      <c r="C3" s="15" t="s">
        <v>107</v>
      </c>
      <c r="D3" s="15" t="s">
        <v>63</v>
      </c>
      <c r="E3" s="15" t="s">
        <v>64</v>
      </c>
      <c r="F3" s="15" t="s">
        <v>117</v>
      </c>
      <c r="G3" s="15" t="s">
        <v>65</v>
      </c>
      <c r="H3" s="15" t="s">
        <v>66</v>
      </c>
      <c r="I3" s="15" t="s">
        <v>108</v>
      </c>
      <c r="J3" s="125"/>
    </row>
    <row r="4" spans="1:10" ht="12.75">
      <c r="A4" s="126">
        <f>Blattform!H9/1000</f>
        <v>0.15000000000000002</v>
      </c>
      <c r="B4" s="20"/>
      <c r="C4" s="20"/>
      <c r="D4" s="20"/>
      <c r="E4" s="20"/>
      <c r="F4" s="20"/>
      <c r="G4" s="20"/>
      <c r="H4" s="20"/>
      <c r="I4" s="20"/>
      <c r="J4" s="125"/>
    </row>
    <row r="5" spans="1:10" ht="12.75">
      <c r="A5" s="126">
        <f>Blattform!H10/1000</f>
        <v>0.1875</v>
      </c>
      <c r="B5" s="116">
        <f aca="true" t="shared" si="0" ref="B5:B20">A5-A4</f>
        <v>0.03749999999999998</v>
      </c>
      <c r="C5" s="117">
        <f>(Auslegung!$D$7/2*(1-COS(AVERAGE(Blattform!F9:F10)/2*PI()/180)))/AVERAGE(Blattform!$G$9:$G$10)</f>
        <v>0.24580568827955915</v>
      </c>
      <c r="D5" s="116">
        <f aca="true" t="shared" si="1" ref="D5:D20">(A5+A4)/2</f>
        <v>0.16875</v>
      </c>
      <c r="E5" s="118">
        <f>AVERAGE(Blattform!G9:G10)/1000*Anlaufmoment!B5</f>
        <v>0.007405064576145855</v>
      </c>
      <c r="F5" s="17">
        <f>90-AVERAGE(Blattform!C9:C10)</f>
        <v>50.21174174288953</v>
      </c>
      <c r="G5" s="16">
        <f aca="true" t="shared" si="2" ref="G5:G20">$B$29+$B$30*F5+$B$31*F5^2+$B$32*F5^3+$B$33*F5^4</f>
        <v>0.7581774337005025</v>
      </c>
      <c r="H5" s="119">
        <f>Auslegung!$D$4/2*Auslegung!$D$12^2*G5*E5</f>
        <v>0.03975242540206801</v>
      </c>
      <c r="I5" s="116">
        <f>H5*D5*1000</f>
        <v>6.708221786598977</v>
      </c>
      <c r="J5" s="125"/>
    </row>
    <row r="6" spans="1:10" ht="12.75">
      <c r="A6" s="126">
        <f>Blattform!H11/1000</f>
        <v>0.22499999999999998</v>
      </c>
      <c r="B6" s="116">
        <f t="shared" si="0"/>
        <v>0.03749999999999998</v>
      </c>
      <c r="C6" s="117">
        <f>(Auslegung!$D$7/2*(1-COS(AVERAGE(Blattform!F10:F11)/2*PI()/180)))/AVERAGE(Blattform!$G$9:$G$10)</f>
        <v>0.19752456203797034</v>
      </c>
      <c r="D6" s="116">
        <f t="shared" si="1"/>
        <v>0.20625</v>
      </c>
      <c r="E6" s="118">
        <f>AVERAGE(Blattform!G10:G11)/1000*Anlaufmoment!B6</f>
        <v>0.006797046389949942</v>
      </c>
      <c r="F6" s="17">
        <f>90-AVERAGE(Blattform!C10:C11)</f>
        <v>55.9689316627485</v>
      </c>
      <c r="G6" s="16">
        <f t="shared" si="2"/>
        <v>0.6641214916488267</v>
      </c>
      <c r="H6" s="119">
        <f>Auslegung!$D$4/2*Auslegung!$D$12^2*G6*E6</f>
        <v>0.031961834310376434</v>
      </c>
      <c r="I6" s="116">
        <f aca="true" t="shared" si="3" ref="I6:I20">H6*D6*1000</f>
        <v>6.59212832651514</v>
      </c>
      <c r="J6" s="125"/>
    </row>
    <row r="7" spans="1:10" ht="12.75">
      <c r="A7" s="126">
        <f>Blattform!H12/1000</f>
        <v>0.26249999999999996</v>
      </c>
      <c r="B7" s="116">
        <f t="shared" si="0"/>
        <v>0.03749999999999998</v>
      </c>
      <c r="C7" s="117">
        <f>(Auslegung!$D$7/2*(1-COS(AVERAGE(Blattform!F11:F12)/2*PI()/180)))/AVERAGE(Blattform!$G$9:$G$10)</f>
        <v>0.16170590825111666</v>
      </c>
      <c r="D7" s="116">
        <f t="shared" si="1"/>
        <v>0.24374999999999997</v>
      </c>
      <c r="E7" s="118">
        <f>AVERAGE(Blattform!G11:G12)/1000*Anlaufmoment!B7</f>
        <v>0.006254351027256949</v>
      </c>
      <c r="F7" s="17">
        <f>90-AVERAGE(Blattform!C11:C12)</f>
        <v>60.620080713461974</v>
      </c>
      <c r="G7" s="16">
        <f t="shared" si="2"/>
        <v>0.5998534924095393</v>
      </c>
      <c r="H7" s="119">
        <f>Auslegung!$D$4/2*Auslegung!$D$12^2*G7*E7</f>
        <v>0.026563871536856545</v>
      </c>
      <c r="I7" s="116">
        <f t="shared" si="3"/>
        <v>6.474943687108782</v>
      </c>
      <c r="J7" s="125"/>
    </row>
    <row r="8" spans="1:10" ht="12.75">
      <c r="A8" s="126">
        <f>Blattform!H13/1000</f>
        <v>0.30000000000000004</v>
      </c>
      <c r="B8" s="116">
        <f t="shared" si="0"/>
        <v>0.03750000000000009</v>
      </c>
      <c r="C8" s="117">
        <f>(Auslegung!$D$7/2*(1-COS(AVERAGE(Blattform!F12:F13)/2*PI()/180)))/AVERAGE(Blattform!$G$9:$G$10)</f>
        <v>0.1348183562831468</v>
      </c>
      <c r="D8" s="116">
        <f t="shared" si="1"/>
        <v>0.28125</v>
      </c>
      <c r="E8" s="118">
        <f>AVERAGE(Blattform!G12:G13)/1000*Anlaufmoment!B8</f>
        <v>0.005781120036348319</v>
      </c>
      <c r="F8" s="17">
        <f>90-AVERAGE(Blattform!C12:C13)</f>
        <v>64.40799281092977</v>
      </c>
      <c r="G8" s="16">
        <f t="shared" si="2"/>
        <v>0.5528893109539368</v>
      </c>
      <c r="H8" s="119">
        <f>Auslegung!$D$4/2*Auslegung!$D$12^2*G8*E8</f>
        <v>0.02263154003168215</v>
      </c>
      <c r="I8" s="116">
        <f t="shared" si="3"/>
        <v>6.365120633910605</v>
      </c>
      <c r="J8" s="125"/>
    </row>
    <row r="9" spans="1:10" ht="12.75">
      <c r="A9" s="126">
        <f>Blattform!H14/1000</f>
        <v>0.3375</v>
      </c>
      <c r="B9" s="116">
        <f t="shared" si="0"/>
        <v>0.03749999999999998</v>
      </c>
      <c r="C9" s="117">
        <f>(Auslegung!$D$7/2*(1-COS(AVERAGE(Blattform!F13:F14)/2*PI()/180)))/AVERAGE(Blattform!$G$9:$G$10)</f>
        <v>0.11431118797609356</v>
      </c>
      <c r="D9" s="116">
        <f t="shared" si="1"/>
        <v>0.31875000000000003</v>
      </c>
      <c r="E9" s="118">
        <f>AVERAGE(Blattform!G13:G14)/1000*Anlaufmoment!B9</f>
        <v>0.005372092685515218</v>
      </c>
      <c r="F9" s="17">
        <f>90-AVERAGE(Blattform!C13:C14)</f>
        <v>67.52649884140448</v>
      </c>
      <c r="G9" s="16">
        <f t="shared" si="2"/>
        <v>0.5154960945182783</v>
      </c>
      <c r="H9" s="119">
        <f>Auslegung!$D$4/2*Auslegung!$D$12^2*G9*E9</f>
        <v>0.019607977661714376</v>
      </c>
      <c r="I9" s="116">
        <f t="shared" si="3"/>
        <v>6.250042879671458</v>
      </c>
      <c r="J9" s="125"/>
    </row>
    <row r="10" spans="1:10" ht="12.75">
      <c r="A10" s="126">
        <f>Blattform!H15/1000</f>
        <v>0.375</v>
      </c>
      <c r="B10" s="116">
        <f t="shared" si="0"/>
        <v>0.03749999999999998</v>
      </c>
      <c r="C10" s="117">
        <f>(Auslegung!$D$7/2*(1-COS(AVERAGE(Blattform!F14:F15)/2*PI()/180)))/AVERAGE(Blattform!$G$9:$G$10)</f>
        <v>0.09840047040536497</v>
      </c>
      <c r="D10" s="116">
        <f t="shared" si="1"/>
        <v>0.35625</v>
      </c>
      <c r="E10" s="118">
        <f>AVERAGE(Blattform!G14:G15)/1000*Anlaufmoment!B10</f>
        <v>0.005018989761453964</v>
      </c>
      <c r="F10" s="17">
        <f>90-AVERAGE(Blattform!C14:C15)</f>
        <v>70.12398322987747</v>
      </c>
      <c r="G10" s="16">
        <f t="shared" si="2"/>
        <v>0.48340527187228854</v>
      </c>
      <c r="H10" s="119">
        <f>Auslegung!$D$4/2*Auslegung!$D$12^2*G10*E10</f>
        <v>0.017178752362987073</v>
      </c>
      <c r="I10" s="116">
        <f t="shared" si="3"/>
        <v>6.119930529314145</v>
      </c>
      <c r="J10" s="125"/>
    </row>
    <row r="11" spans="1:10" ht="12.75">
      <c r="A11" s="126">
        <f>Blattform!H16/1000</f>
        <v>0.41250000000000003</v>
      </c>
      <c r="B11" s="116">
        <f t="shared" si="0"/>
        <v>0.03750000000000003</v>
      </c>
      <c r="C11" s="117">
        <f>(Auslegung!$D$7/2*(1-COS(AVERAGE(Blattform!F15:F16)/2*PI()/180)))/AVERAGE(Blattform!$G$9:$G$10)</f>
        <v>0.08584676661070295</v>
      </c>
      <c r="D11" s="116">
        <f t="shared" si="1"/>
        <v>0.39375000000000004</v>
      </c>
      <c r="E11" s="118">
        <f>AVERAGE(Blattform!G15:G16)/1000*Anlaufmoment!B11</f>
        <v>0.004713331840238693</v>
      </c>
      <c r="F11" s="17">
        <f>90-AVERAGE(Blattform!C15:C16)</f>
        <v>72.31241969838719</v>
      </c>
      <c r="G11" s="16">
        <f t="shared" si="2"/>
        <v>0.4543957565862362</v>
      </c>
      <c r="H11" s="119">
        <f>Auslegung!$D$4/2*Auslegung!$D$12^2*G11*E11</f>
        <v>0.015164434211111579</v>
      </c>
      <c r="I11" s="116">
        <f t="shared" si="3"/>
        <v>5.970995970625185</v>
      </c>
      <c r="J11" s="125"/>
    </row>
    <row r="12" spans="1:10" ht="12.75">
      <c r="A12" s="126">
        <f>Blattform!H17/1000</f>
        <v>0.44999999999999996</v>
      </c>
      <c r="B12" s="116">
        <f t="shared" si="0"/>
        <v>0.03749999999999992</v>
      </c>
      <c r="C12" s="117">
        <f>(Auslegung!$D$7/2*(1-COS(AVERAGE(Blattform!F16:F17)/2*PI()/180)))/AVERAGE(Blattform!$G$9:$G$10)</f>
        <v>0.07578386638284028</v>
      </c>
      <c r="D12" s="116">
        <f t="shared" si="1"/>
        <v>0.43125</v>
      </c>
      <c r="E12" s="118">
        <f>AVERAGE(Blattform!G16:G17)/1000*Anlaufmoment!B12</f>
        <v>0.0044474991491132414</v>
      </c>
      <c r="F12" s="17">
        <f>90-AVERAGE(Blattform!C16:C17)</f>
        <v>74.17623735167463</v>
      </c>
      <c r="G12" s="16">
        <f t="shared" si="2"/>
        <v>0.427354923945221</v>
      </c>
      <c r="H12" s="119">
        <f>Auslegung!$D$4/2*Auslegung!$D$12^2*G12*E12</f>
        <v>0.013457627807489636</v>
      </c>
      <c r="I12" s="116">
        <f t="shared" si="3"/>
        <v>5.803601991979906</v>
      </c>
      <c r="J12" s="125"/>
    </row>
    <row r="13" spans="1:10" ht="12.75">
      <c r="A13" s="126">
        <f>Blattform!H18/1000</f>
        <v>0.48750000000000004</v>
      </c>
      <c r="B13" s="116">
        <f t="shared" si="0"/>
        <v>0.03750000000000009</v>
      </c>
      <c r="C13" s="117">
        <f>(Auslegung!$D$7/2*(1-COS(AVERAGE(Blattform!F17:F18)/2*PI()/180)))/AVERAGE(Blattform!$G$9:$G$10)</f>
        <v>0.06759918561585404</v>
      </c>
      <c r="D13" s="116">
        <f t="shared" si="1"/>
        <v>0.46875</v>
      </c>
      <c r="E13" s="118">
        <f>AVERAGE(Blattform!G17:G18)/1000*Anlaufmoment!B13</f>
        <v>0.0042150106393923446</v>
      </c>
      <c r="F13" s="17">
        <f>90-AVERAGE(Blattform!C17:C18)</f>
        <v>75.77947626447613</v>
      </c>
      <c r="G13" s="16">
        <f t="shared" si="2"/>
        <v>0.40174214182966494</v>
      </c>
      <c r="H13" s="119">
        <f>Auslegung!$D$4/2*Auslegung!$D$12^2*G13*E13</f>
        <v>0.01198974628059954</v>
      </c>
      <c r="I13" s="116">
        <f t="shared" si="3"/>
        <v>5.620193569031034</v>
      </c>
      <c r="J13" s="125"/>
    </row>
    <row r="14" spans="1:10" ht="12.75">
      <c r="A14" s="126">
        <f>Blattform!H19/1000</f>
        <v>0.5249999999999999</v>
      </c>
      <c r="B14" s="116">
        <f t="shared" si="0"/>
        <v>0.03749999999999987</v>
      </c>
      <c r="C14" s="117">
        <f>(Auslegung!$D$7/2*(1-COS(AVERAGE(Blattform!F18:F19)/2*PI()/180)))/AVERAGE(Blattform!$G$9:$G$10)</f>
        <v>0.060853202615268456</v>
      </c>
      <c r="D14" s="116">
        <f t="shared" si="1"/>
        <v>0.50625</v>
      </c>
      <c r="E14" s="118">
        <f>AVERAGE(Blattform!G18:G19)/1000*Anlaufmoment!B14</f>
        <v>0.00401048892255303</v>
      </c>
      <c r="F14" s="17">
        <f>90-AVERAGE(Blattform!C18:C19)</f>
        <v>77.1711607721054</v>
      </c>
      <c r="G14" s="16">
        <f t="shared" si="2"/>
        <v>0.37730142838870506</v>
      </c>
      <c r="H14" s="119">
        <f>Auslegung!$D$4/2*Auslegung!$D$12^2*G14*E14</f>
        <v>0.010713952030635174</v>
      </c>
      <c r="I14" s="116">
        <f t="shared" si="3"/>
        <v>5.4239382155090565</v>
      </c>
      <c r="J14" s="125"/>
    </row>
    <row r="15" spans="1:10" ht="12.75">
      <c r="A15" s="126">
        <f>Blattform!H20/1000</f>
        <v>0.5625</v>
      </c>
      <c r="B15" s="116">
        <f t="shared" si="0"/>
        <v>0.03750000000000009</v>
      </c>
      <c r="C15" s="117">
        <f>(Auslegung!$D$7/2*(1-COS(AVERAGE(Blattform!F19:F20)/2*PI()/180)))/AVERAGE(Blattform!$G$9:$G$10)</f>
        <v>0.055225711985167486</v>
      </c>
      <c r="D15" s="116">
        <f t="shared" si="1"/>
        <v>0.54375</v>
      </c>
      <c r="E15" s="118">
        <f>AVERAGE(Blattform!G19:G20)/1000*Anlaufmoment!B15</f>
        <v>0.0038295186347261936</v>
      </c>
      <c r="F15" s="17">
        <f>90-AVERAGE(Blattform!C19:C20)</f>
        <v>78.38922083938508</v>
      </c>
      <c r="G15" s="16">
        <f t="shared" si="2"/>
        <v>0.35391286361817187</v>
      </c>
      <c r="H15" s="119">
        <f>Auslegung!$D$4/2*Auslegung!$D$12^2*G15*E15</f>
        <v>0.009596314274522448</v>
      </c>
      <c r="I15" s="116">
        <f t="shared" si="3"/>
        <v>5.217995886771581</v>
      </c>
      <c r="J15" s="125"/>
    </row>
    <row r="16" spans="1:10" ht="12.75">
      <c r="A16" s="126">
        <f>Blattform!H21/1000</f>
        <v>0.6000000000000001</v>
      </c>
      <c r="B16" s="116">
        <f t="shared" si="0"/>
        <v>0.03750000000000009</v>
      </c>
      <c r="C16" s="117">
        <f>(Auslegung!$D$7/2*(1-COS(AVERAGE(Blattform!F20:F21)/2*PI()/180)))/AVERAGE(Blattform!$G$9:$G$10)</f>
        <v>0.05047986501651752</v>
      </c>
      <c r="D16" s="116">
        <f t="shared" si="1"/>
        <v>0.58125</v>
      </c>
      <c r="E16" s="118">
        <f>AVERAGE(Blattform!G20:G21)/1000*Anlaufmoment!B16</f>
        <v>0.0036684848809045113</v>
      </c>
      <c r="F16" s="17">
        <f>90-AVERAGE(Blattform!C20:C21)</f>
        <v>79.46332808323942</v>
      </c>
      <c r="G16" s="16">
        <f t="shared" si="2"/>
        <v>0.33151775393374905</v>
      </c>
      <c r="H16" s="119">
        <f>Auslegung!$D$4/2*Auslegung!$D$12^2*G16*E16</f>
        <v>0.008611076589780282</v>
      </c>
      <c r="I16" s="116">
        <f t="shared" si="3"/>
        <v>5.00518826780979</v>
      </c>
      <c r="J16" s="125"/>
    </row>
    <row r="17" spans="1:10" ht="12.75">
      <c r="A17" s="126">
        <f>Blattform!H22/1000</f>
        <v>0.6375</v>
      </c>
      <c r="B17" s="116">
        <f t="shared" si="0"/>
        <v>0.03749999999999987</v>
      </c>
      <c r="C17" s="117">
        <f>(Auslegung!$D$7/2*(1-COS(AVERAGE(Blattform!F21:F22)/2*PI()/180)))/AVERAGE(Blattform!$G$9:$G$10)</f>
        <v>0.04643788960552918</v>
      </c>
      <c r="D17" s="116">
        <f t="shared" si="1"/>
        <v>0.61875</v>
      </c>
      <c r="E17" s="118">
        <f>AVERAGE(Blattform!G21:G22)/1000*Anlaufmoment!B17</f>
        <v>0.0035244245570183576</v>
      </c>
      <c r="F17" s="17">
        <f>90-AVERAGE(Blattform!C21:C22)</f>
        <v>80.41694819034538</v>
      </c>
      <c r="G17" s="16">
        <f t="shared" si="2"/>
        <v>0.310082043175651</v>
      </c>
      <c r="H17" s="119">
        <f>Auslegung!$D$4/2*Auslegung!$D$12^2*G17*E17</f>
        <v>0.007738000665407363</v>
      </c>
      <c r="I17" s="116">
        <f t="shared" si="3"/>
        <v>4.787887911720806</v>
      </c>
      <c r="J17" s="125"/>
    </row>
    <row r="18" spans="1:10" ht="12.75">
      <c r="A18" s="126">
        <f>Blattform!H23/1000</f>
        <v>0.675</v>
      </c>
      <c r="B18" s="116">
        <f t="shared" si="0"/>
        <v>0.03750000000000009</v>
      </c>
      <c r="C18" s="117">
        <f>(Auslegung!$D$7/2*(1-COS(AVERAGE(Blattform!F22:F23)/2*PI()/180)))/AVERAGE(Blattform!$G$9:$G$10)</f>
        <v>0.04296449559074725</v>
      </c>
      <c r="D18" s="116">
        <f t="shared" si="1"/>
        <v>0.65625</v>
      </c>
      <c r="E18" s="118">
        <f>AVERAGE(Blattform!G22:G23)/1000*Anlaufmoment!B18</f>
        <v>0.0033949003325695966</v>
      </c>
      <c r="F18" s="17">
        <f>90-AVERAGE(Blattform!C22:C23)</f>
        <v>81.26883469873586</v>
      </c>
      <c r="G18" s="16">
        <f t="shared" si="2"/>
        <v>0.28957921258785113</v>
      </c>
      <c r="H18" s="119">
        <f>Auslegung!$D$4/2*Auslegung!$D$12^2*G18*E18</f>
        <v>0.006960786907330303</v>
      </c>
      <c r="I18" s="116">
        <f t="shared" si="3"/>
        <v>4.568016407935511</v>
      </c>
      <c r="J18" s="125"/>
    </row>
    <row r="19" spans="1:10" ht="12.75">
      <c r="A19" s="126">
        <f>Blattform!H24/1000</f>
        <v>0.7124999999999999</v>
      </c>
      <c r="B19" s="116">
        <f t="shared" si="0"/>
        <v>0.03749999999999987</v>
      </c>
      <c r="C19" s="117">
        <f>(Auslegung!$D$7/2*(1-COS(AVERAGE(Blattform!F23:F24)/2*PI()/180)))/AVERAGE(Blattform!$G$9:$G$10)</f>
        <v>0.03995537885378909</v>
      </c>
      <c r="D19" s="116">
        <f t="shared" si="1"/>
        <v>0.69375</v>
      </c>
      <c r="E19" s="118">
        <f>AVERAGE(Blattform!G23:G24)/1000*Anlaufmoment!B19</f>
        <v>0.003277897820496275</v>
      </c>
      <c r="F19" s="17">
        <f>90-AVERAGE(Blattform!C23:C24)</f>
        <v>82.0341252234749</v>
      </c>
      <c r="G19" s="16">
        <f t="shared" si="2"/>
        <v>0.26998292471112073</v>
      </c>
      <c r="H19" s="119">
        <f>Auslegung!$D$4/2*Auslegung!$D$12^2*G19*E19</f>
        <v>0.006266075686831332</v>
      </c>
      <c r="I19" s="116">
        <f t="shared" si="3"/>
        <v>4.347090007739236</v>
      </c>
      <c r="J19" s="125"/>
    </row>
    <row r="20" spans="1:10" ht="13.5" thickBot="1">
      <c r="A20" s="126">
        <f>Blattform!H25/1000</f>
        <v>0.75</v>
      </c>
      <c r="B20" s="116">
        <f t="shared" si="0"/>
        <v>0.03750000000000009</v>
      </c>
      <c r="C20" s="117">
        <f>(Auslegung!$D$7/2*(1-COS(AVERAGE(Blattform!F24:F25)/2*PI()/180)))/AVERAGE(Blattform!$G$9:$G$10)</f>
        <v>0.03732914639467721</v>
      </c>
      <c r="D20" s="120">
        <f t="shared" si="1"/>
        <v>0.73125</v>
      </c>
      <c r="E20" s="121">
        <f>AVERAGE(Blattform!G24:G25)/1000*Anlaufmoment!B20</f>
        <v>0.003171743183179831</v>
      </c>
      <c r="F20" s="17">
        <f>90-AVERAGE(Blattform!C24:C25)</f>
        <v>82.72515363423395</v>
      </c>
      <c r="G20" s="127">
        <f t="shared" si="2"/>
        <v>0.25126440267310457</v>
      </c>
      <c r="H20" s="128">
        <f>Auslegung!$D$4/2*Auslegung!$D$12^2*G20*E20</f>
        <v>0.005642777260065711</v>
      </c>
      <c r="I20" s="120">
        <f t="shared" si="3"/>
        <v>4.126280871423051</v>
      </c>
      <c r="J20" s="129"/>
    </row>
    <row r="21" spans="1:10" ht="13.5" thickBot="1">
      <c r="A21" s="90"/>
      <c r="B21" s="11"/>
      <c r="C21" s="11"/>
      <c r="D21" s="122" t="s">
        <v>81</v>
      </c>
      <c r="E21" s="123">
        <f>SUM(E5:E20)</f>
        <v>0.07488196443686232</v>
      </c>
      <c r="F21" s="11"/>
      <c r="G21" s="1" t="s">
        <v>112</v>
      </c>
      <c r="H21" s="2"/>
      <c r="I21" s="3">
        <f>SUM(I5:I20)*Auslegung!$D$8/1000</f>
        <v>0.5362894616619854</v>
      </c>
      <c r="J21" s="4" t="s">
        <v>26</v>
      </c>
    </row>
    <row r="22" spans="1:10" ht="13.5" thickBot="1">
      <c r="A22" s="90"/>
      <c r="B22" s="11"/>
      <c r="C22" s="11"/>
      <c r="D22" s="11"/>
      <c r="E22" s="11"/>
      <c r="F22" s="11"/>
      <c r="G22" s="5" t="s">
        <v>67</v>
      </c>
      <c r="H22" s="6"/>
      <c r="I22" s="7">
        <f>Auslegung!$D$5*Auslegung!$D$12/Auslegung!$D$6/2/PI()*60</f>
        <v>125.54141911088705</v>
      </c>
      <c r="J22" s="8" t="s">
        <v>28</v>
      </c>
    </row>
    <row r="23" spans="1:10" ht="12.75">
      <c r="A23" s="90"/>
      <c r="B23" s="11"/>
      <c r="C23" s="11"/>
      <c r="D23" s="11"/>
      <c r="E23" s="11"/>
      <c r="F23" s="11"/>
      <c r="G23" s="11"/>
      <c r="H23" s="11"/>
      <c r="I23" s="11"/>
      <c r="J23" s="100"/>
    </row>
    <row r="24" spans="1:10" ht="12.75">
      <c r="A24" s="102"/>
      <c r="B24" s="103"/>
      <c r="C24" s="103"/>
      <c r="D24" s="11"/>
      <c r="E24" s="11"/>
      <c r="F24" s="11"/>
      <c r="G24" s="11"/>
      <c r="H24" s="11"/>
      <c r="I24" s="11"/>
      <c r="J24" s="100"/>
    </row>
    <row r="25" spans="1:10" ht="12.75">
      <c r="A25" s="90"/>
      <c r="B25" s="11"/>
      <c r="C25" s="11"/>
      <c r="D25" s="11"/>
      <c r="E25" s="11"/>
      <c r="F25" s="11"/>
      <c r="G25" s="11"/>
      <c r="H25" s="11"/>
      <c r="I25" s="11"/>
      <c r="J25" s="100"/>
    </row>
    <row r="26" spans="1:12" ht="13.5" thickBot="1">
      <c r="A26" s="104"/>
      <c r="B26" s="105"/>
      <c r="C26" s="105"/>
      <c r="D26" s="105"/>
      <c r="E26" s="105"/>
      <c r="F26" s="105"/>
      <c r="G26" s="105"/>
      <c r="H26" s="105"/>
      <c r="I26" s="105"/>
      <c r="J26" s="106"/>
      <c r="K26" s="70"/>
      <c r="L26" s="70"/>
    </row>
    <row r="27" spans="1:8" ht="13.5" thickBot="1">
      <c r="A27" s="107"/>
      <c r="B27" s="108"/>
      <c r="C27" s="107"/>
      <c r="D27" s="107"/>
      <c r="E27" s="107"/>
      <c r="F27" s="107"/>
      <c r="G27" s="109"/>
      <c r="H27" s="49"/>
    </row>
    <row r="28" spans="1:19" ht="12.75">
      <c r="A28" s="86" t="s">
        <v>110</v>
      </c>
      <c r="B28" s="87"/>
      <c r="C28" s="87"/>
      <c r="D28" s="87" t="s">
        <v>54</v>
      </c>
      <c r="E28" s="87" t="s">
        <v>55</v>
      </c>
      <c r="F28" s="87" t="s">
        <v>100</v>
      </c>
      <c r="G28" s="87"/>
      <c r="H28" s="87"/>
      <c r="I28" s="88"/>
      <c r="J28" s="89"/>
      <c r="K28" s="110"/>
      <c r="L28" s="111"/>
      <c r="S28" s="112"/>
    </row>
    <row r="29" spans="1:19" ht="12.75">
      <c r="A29" s="90" t="s">
        <v>56</v>
      </c>
      <c r="B29" s="91">
        <v>0.4593897744996934</v>
      </c>
      <c r="C29" s="11"/>
      <c r="D29" s="11">
        <v>0</v>
      </c>
      <c r="E29" s="92">
        <f aca="true" t="shared" si="4" ref="E29:E38">$B$29+$B$30*D29+$B$31*D29^2+$B$32*D29^3+$B$33*D29^4</f>
        <v>0.4593897744996934</v>
      </c>
      <c r="F29" s="92">
        <f aca="true" t="shared" si="5" ref="F29:F38">$B$37+$B$38*D29+$B$39*D29^2+$B$40*D29^3+$B$41*D29^4+$B$42*D29^5</f>
        <v>0.03798571310395815</v>
      </c>
      <c r="G29" s="11"/>
      <c r="H29" s="11"/>
      <c r="I29" s="93"/>
      <c r="J29" s="94"/>
      <c r="K29" s="110"/>
      <c r="L29" s="111"/>
      <c r="S29" s="112"/>
    </row>
    <row r="30" spans="1:19" ht="12.75">
      <c r="A30" s="90" t="s">
        <v>57</v>
      </c>
      <c r="B30" s="91">
        <v>0.09733228225693928</v>
      </c>
      <c r="C30" s="11"/>
      <c r="D30" s="11">
        <v>10</v>
      </c>
      <c r="E30" s="92">
        <f t="shared" si="4"/>
        <v>1.1033240489065708</v>
      </c>
      <c r="F30" s="92">
        <f t="shared" si="5"/>
        <v>0.12383299436413213</v>
      </c>
      <c r="G30" s="11"/>
      <c r="H30" s="11"/>
      <c r="I30" s="93"/>
      <c r="J30" s="94"/>
      <c r="K30" s="110"/>
      <c r="L30" s="111"/>
      <c r="S30" s="112"/>
    </row>
    <row r="31" spans="1:19" ht="12.75">
      <c r="A31" s="90" t="s">
        <v>58</v>
      </c>
      <c r="B31" s="91">
        <v>-0.0037833519927190627</v>
      </c>
      <c r="C31" s="11"/>
      <c r="D31" s="11">
        <v>20</v>
      </c>
      <c r="E31" s="92">
        <f t="shared" si="4"/>
        <v>1.2646839889717116</v>
      </c>
      <c r="F31" s="92">
        <f t="shared" si="5"/>
        <v>0.3093926601157185</v>
      </c>
      <c r="G31" s="11"/>
      <c r="H31" s="11"/>
      <c r="I31" s="93"/>
      <c r="J31" s="94"/>
      <c r="K31" s="110"/>
      <c r="L31" s="111"/>
      <c r="S31" s="112"/>
    </row>
    <row r="32" spans="1:19" ht="12.75">
      <c r="A32" s="90" t="s">
        <v>59</v>
      </c>
      <c r="B32" s="91">
        <v>5.1394631416174564E-05</v>
      </c>
      <c r="C32" s="11"/>
      <c r="D32" s="11">
        <v>30</v>
      </c>
      <c r="E32" s="92">
        <f t="shared" si="4"/>
        <v>1.1637100921479504</v>
      </c>
      <c r="F32" s="92">
        <f t="shared" si="5"/>
        <v>0.5083077032670837</v>
      </c>
      <c r="G32" s="11"/>
      <c r="H32" s="11"/>
      <c r="I32" s="93"/>
      <c r="J32" s="94"/>
      <c r="K32" s="110"/>
      <c r="L32" s="111"/>
      <c r="S32" s="112"/>
    </row>
    <row r="33" spans="1:19" ht="12.75">
      <c r="A33" s="90" t="s">
        <v>60</v>
      </c>
      <c r="B33" s="91">
        <v>-2.4479803067836843E-07</v>
      </c>
      <c r="C33" s="11"/>
      <c r="D33" s="11">
        <v>40</v>
      </c>
      <c r="E33" s="92">
        <f t="shared" si="4"/>
        <v>0.9618913285253132</v>
      </c>
      <c r="F33" s="92">
        <f t="shared" si="5"/>
        <v>0.6852234005378387</v>
      </c>
      <c r="G33" s="11"/>
      <c r="H33" s="11"/>
      <c r="I33" s="93"/>
      <c r="J33" s="94"/>
      <c r="K33" s="110"/>
      <c r="L33" s="111"/>
      <c r="S33" s="112"/>
    </row>
    <row r="34" spans="1:19" ht="12.75">
      <c r="A34" s="90"/>
      <c r="B34" s="11"/>
      <c r="C34" s="11"/>
      <c r="D34" s="11">
        <v>50</v>
      </c>
      <c r="E34" s="92">
        <f t="shared" si="4"/>
        <v>0.7619651408310177</v>
      </c>
      <c r="F34" s="92">
        <f t="shared" si="5"/>
        <v>0.8371027234885905</v>
      </c>
      <c r="G34" s="11"/>
      <c r="H34" s="11"/>
      <c r="I34" s="93"/>
      <c r="J34" s="94"/>
      <c r="K34" s="110"/>
      <c r="L34" s="111"/>
      <c r="S34" s="112"/>
    </row>
    <row r="35" spans="1:19" ht="12.75">
      <c r="A35" s="90"/>
      <c r="B35" s="11"/>
      <c r="C35" s="11"/>
      <c r="D35" s="11">
        <v>60</v>
      </c>
      <c r="E35" s="92">
        <f t="shared" si="4"/>
        <v>0.6079174444294755</v>
      </c>
      <c r="F35" s="92">
        <f t="shared" si="5"/>
        <v>0.9745417495506938</v>
      </c>
      <c r="G35" s="11"/>
      <c r="H35" s="11"/>
      <c r="I35" s="93"/>
      <c r="J35" s="94"/>
      <c r="K35" s="110"/>
      <c r="L35" s="111"/>
      <c r="S35" s="112"/>
    </row>
    <row r="36" spans="1:19" ht="12.75">
      <c r="A36" s="90" t="s">
        <v>111</v>
      </c>
      <c r="B36" s="11"/>
      <c r="C36" s="11"/>
      <c r="D36" s="11">
        <v>70</v>
      </c>
      <c r="E36" s="92">
        <f t="shared" si="4"/>
        <v>0.48498262732228703</v>
      </c>
      <c r="F36" s="92">
        <f t="shared" si="5"/>
        <v>1.1030850730560013</v>
      </c>
      <c r="G36" s="11"/>
      <c r="H36" s="11"/>
      <c r="I36" s="93"/>
      <c r="J36" s="94"/>
      <c r="K36" s="110"/>
      <c r="L36" s="111"/>
      <c r="S36" s="112"/>
    </row>
    <row r="37" spans="1:19" ht="12.75">
      <c r="A37" s="90" t="s">
        <v>56</v>
      </c>
      <c r="B37" s="91">
        <v>0.03798571310395815</v>
      </c>
      <c r="C37" s="11"/>
      <c r="D37" s="11">
        <v>80</v>
      </c>
      <c r="E37" s="92">
        <f t="shared" si="4"/>
        <v>0.3196435501482391</v>
      </c>
      <c r="F37" s="92">
        <f t="shared" si="5"/>
        <v>1.2045412162666187</v>
      </c>
      <c r="G37" s="11"/>
      <c r="H37" s="11"/>
      <c r="I37" s="93"/>
      <c r="J37" s="94"/>
      <c r="K37" s="110"/>
      <c r="L37" s="111"/>
      <c r="S37" s="112"/>
    </row>
    <row r="38" spans="1:19" ht="12.75">
      <c r="A38" s="90" t="s">
        <v>57</v>
      </c>
      <c r="B38" s="91">
        <v>-0.0009282068762937622</v>
      </c>
      <c r="C38" s="11"/>
      <c r="D38" s="11">
        <v>90</v>
      </c>
      <c r="E38" s="92">
        <f t="shared" si="4"/>
        <v>-0.02036845381667618</v>
      </c>
      <c r="F38" s="92">
        <f t="shared" si="5"/>
        <v>1.2182980404046422</v>
      </c>
      <c r="G38" s="11"/>
      <c r="H38" s="11"/>
      <c r="I38" s="93"/>
      <c r="J38" s="94"/>
      <c r="K38" s="110"/>
      <c r="L38" s="111"/>
      <c r="S38" s="112"/>
    </row>
    <row r="39" spans="1:19" ht="12.75">
      <c r="A39" s="90" t="s">
        <v>58</v>
      </c>
      <c r="B39" s="91">
        <v>0.0012419598794261371</v>
      </c>
      <c r="C39" s="11"/>
      <c r="D39" s="11"/>
      <c r="E39" s="11"/>
      <c r="F39" s="11"/>
      <c r="G39" s="11"/>
      <c r="H39" s="11"/>
      <c r="I39" s="93"/>
      <c r="J39" s="94"/>
      <c r="K39" s="110"/>
      <c r="L39" s="111"/>
      <c r="S39" s="112"/>
    </row>
    <row r="40" spans="1:19" ht="12.75">
      <c r="A40" s="90" t="s">
        <v>59</v>
      </c>
      <c r="B40" s="91">
        <v>-3.259307725107262E-05</v>
      </c>
      <c r="C40" s="11"/>
      <c r="D40" s="11"/>
      <c r="E40" s="11"/>
      <c r="F40" s="11"/>
      <c r="G40" s="11"/>
      <c r="H40" s="11"/>
      <c r="I40" s="93"/>
      <c r="J40" s="94"/>
      <c r="K40" s="110"/>
      <c r="L40" s="111"/>
      <c r="S40" s="112"/>
    </row>
    <row r="41" spans="1:19" ht="12.75">
      <c r="A41" s="90" t="s">
        <v>60</v>
      </c>
      <c r="B41" s="91">
        <v>3.6821442396559156E-07</v>
      </c>
      <c r="C41" s="11"/>
      <c r="D41" s="11"/>
      <c r="E41" s="11"/>
      <c r="F41" s="11"/>
      <c r="G41" s="11"/>
      <c r="H41" s="11"/>
      <c r="I41" s="93"/>
      <c r="J41" s="94"/>
      <c r="K41" s="110"/>
      <c r="L41" s="111"/>
      <c r="S41" s="112"/>
    </row>
    <row r="42" spans="1:19" ht="12.75">
      <c r="A42" s="90" t="s">
        <v>69</v>
      </c>
      <c r="B42" s="91">
        <v>-1.5570490808540544E-09</v>
      </c>
      <c r="C42" s="11"/>
      <c r="D42" s="11"/>
      <c r="E42" s="11"/>
      <c r="F42" s="11"/>
      <c r="G42" s="11"/>
      <c r="H42" s="11"/>
      <c r="I42" s="93"/>
      <c r="J42" s="94"/>
      <c r="K42" s="110"/>
      <c r="L42" s="111"/>
      <c r="S42" s="112"/>
    </row>
    <row r="43" spans="1:19" ht="12.75">
      <c r="A43" s="90"/>
      <c r="B43" s="11"/>
      <c r="C43" s="11"/>
      <c r="D43" s="11"/>
      <c r="E43" s="11"/>
      <c r="F43" s="11"/>
      <c r="G43" s="11"/>
      <c r="H43" s="11"/>
      <c r="I43" s="93"/>
      <c r="J43" s="94"/>
      <c r="K43" s="110"/>
      <c r="L43" s="111"/>
      <c r="S43" s="112"/>
    </row>
    <row r="44" spans="1:14" ht="13.5" thickBot="1">
      <c r="A44" s="95"/>
      <c r="B44" s="96"/>
      <c r="C44" s="96"/>
      <c r="D44" s="96"/>
      <c r="E44" s="96"/>
      <c r="F44" s="96"/>
      <c r="G44" s="96"/>
      <c r="H44" s="96"/>
      <c r="I44" s="96"/>
      <c r="J44" s="97"/>
      <c r="L44" s="113"/>
      <c r="N44" s="114"/>
    </row>
    <row r="45" spans="8:12" ht="12.75">
      <c r="H45" s="114"/>
      <c r="L45" s="113"/>
    </row>
    <row r="47" ht="12.75">
      <c r="G47" s="107"/>
    </row>
    <row r="48" ht="12.75">
      <c r="G48" s="107"/>
    </row>
    <row r="49" ht="12.75">
      <c r="G49" s="107"/>
    </row>
    <row r="50" ht="12.75">
      <c r="G50" s="107"/>
    </row>
    <row r="51" ht="12.75">
      <c r="G51" s="107"/>
    </row>
    <row r="52" ht="12.75">
      <c r="G52" s="107"/>
    </row>
    <row r="53" ht="12.75">
      <c r="G53" s="107"/>
    </row>
    <row r="54" ht="12.75">
      <c r="G54" s="107"/>
    </row>
    <row r="58" spans="2:3" ht="12.75">
      <c r="B58" s="115"/>
      <c r="C58" s="115"/>
    </row>
  </sheetData>
  <sheetProtection selectLockedCells="1" selectUnlockedCells="1"/>
  <printOptions/>
  <pageMargins left="0.75" right="0.75" top="1" bottom="1" header="0.4921259845" footer="0.4921259845"/>
  <pageSetup horizontalDpi="300" verticalDpi="300" orientation="portrait" paperSize="9" r:id="rId5"/>
  <drawing r:id="rId4"/>
  <legacyDrawing r:id="rId3"/>
  <oleObjects>
    <oleObject progId="Equation.3" shapeId="11754214" r:id="rId2"/>
  </oleObjects>
</worksheet>
</file>

<file path=xl/worksheets/sheet5.xml><?xml version="1.0" encoding="utf-8"?>
<worksheet xmlns="http://schemas.openxmlformats.org/spreadsheetml/2006/main" xmlns:r="http://schemas.openxmlformats.org/officeDocument/2006/relationships">
  <sheetPr codeName="Tabelle4">
    <tabColor indexed="46"/>
  </sheetPr>
  <dimension ref="A1:G30"/>
  <sheetViews>
    <sheetView workbookViewId="0" topLeftCell="A1">
      <selection activeCell="G30" sqref="G30:J30"/>
    </sheetView>
  </sheetViews>
  <sheetFormatPr defaultColWidth="11.421875" defaultRowHeight="12.75"/>
  <cols>
    <col min="1" max="1" width="10.00390625" style="42" customWidth="1"/>
    <col min="2" max="2" width="8.57421875" style="42" customWidth="1"/>
    <col min="3" max="3" width="8.421875" style="42" customWidth="1"/>
    <col min="4" max="16384" width="11.421875" style="42" customWidth="1"/>
  </cols>
  <sheetData>
    <row r="1" spans="1:5" ht="13.5" thickBot="1">
      <c r="A1" s="112"/>
      <c r="B1" s="112"/>
      <c r="C1" s="144" t="s">
        <v>75</v>
      </c>
      <c r="D1" s="145"/>
      <c r="E1" s="146"/>
    </row>
    <row r="2" spans="1:2" ht="12.75">
      <c r="A2" s="112" t="s">
        <v>73</v>
      </c>
      <c r="B2" s="112" t="s">
        <v>72</v>
      </c>
    </row>
    <row r="3" spans="1:2" ht="12.75">
      <c r="A3" s="112">
        <v>1.22</v>
      </c>
      <c r="B3" s="112">
        <v>75.14</v>
      </c>
    </row>
    <row r="4" spans="1:4" ht="12.75">
      <c r="A4" s="112">
        <v>1.46</v>
      </c>
      <c r="B4" s="112">
        <v>60.16</v>
      </c>
      <c r="D4" s="147" t="s">
        <v>74</v>
      </c>
    </row>
    <row r="5" spans="1:5" ht="12.75">
      <c r="A5" s="112">
        <v>1.78</v>
      </c>
      <c r="B5" s="112">
        <v>45.05</v>
      </c>
      <c r="D5" s="42" t="s">
        <v>56</v>
      </c>
      <c r="E5" s="148">
        <v>253.82003977159462</v>
      </c>
    </row>
    <row r="6" spans="1:5" ht="12.75">
      <c r="A6" s="112">
        <v>2.08</v>
      </c>
      <c r="B6" s="112">
        <v>35.12</v>
      </c>
      <c r="D6" s="42" t="s">
        <v>57</v>
      </c>
      <c r="E6" s="148">
        <v>-253.02283624457525</v>
      </c>
    </row>
    <row r="7" spans="1:5" ht="12.75">
      <c r="A7" s="112">
        <v>2.32</v>
      </c>
      <c r="B7" s="112">
        <v>30.08</v>
      </c>
      <c r="D7" s="42" t="s">
        <v>58</v>
      </c>
      <c r="E7" s="148">
        <v>119.89584171481525</v>
      </c>
    </row>
    <row r="8" spans="1:5" ht="12.75">
      <c r="A8" s="112">
        <v>3.08</v>
      </c>
      <c r="B8" s="112">
        <v>18.51</v>
      </c>
      <c r="D8" s="42" t="s">
        <v>59</v>
      </c>
      <c r="E8" s="148">
        <v>-32.26654792563684</v>
      </c>
    </row>
    <row r="9" spans="1:5" ht="12.75">
      <c r="A9" s="112">
        <v>4.03</v>
      </c>
      <c r="B9" s="112">
        <v>11.57</v>
      </c>
      <c r="D9" s="42" t="s">
        <v>60</v>
      </c>
      <c r="E9" s="148">
        <v>5.1505009943891835</v>
      </c>
    </row>
    <row r="10" spans="1:5" ht="12.75">
      <c r="A10" s="112">
        <v>4.97</v>
      </c>
      <c r="B10" s="112">
        <v>7.21</v>
      </c>
      <c r="D10" s="42" t="s">
        <v>69</v>
      </c>
      <c r="E10" s="148">
        <v>-0.4814235806424884</v>
      </c>
    </row>
    <row r="11" spans="1:5" ht="12.75">
      <c r="A11" s="112">
        <v>6.08</v>
      </c>
      <c r="B11" s="112">
        <v>4.63</v>
      </c>
      <c r="D11" s="42" t="s">
        <v>70</v>
      </c>
      <c r="E11" s="148">
        <v>0.024300791389719783</v>
      </c>
    </row>
    <row r="12" spans="1:5" ht="12.75">
      <c r="A12" s="112">
        <v>7.08</v>
      </c>
      <c r="B12" s="112">
        <v>3.4</v>
      </c>
      <c r="D12" s="42" t="s">
        <v>71</v>
      </c>
      <c r="E12" s="148">
        <v>-0.0005108135188073922</v>
      </c>
    </row>
    <row r="13" spans="1:2" ht="12.75">
      <c r="A13" s="112">
        <v>8.03</v>
      </c>
      <c r="B13" s="112">
        <v>2.59</v>
      </c>
    </row>
    <row r="14" spans="1:5" ht="12.75">
      <c r="A14" s="112">
        <v>9.03</v>
      </c>
      <c r="B14" s="112">
        <v>2.04</v>
      </c>
      <c r="D14" s="42" t="s">
        <v>68</v>
      </c>
      <c r="E14" s="149">
        <v>0.1663654501252017</v>
      </c>
    </row>
    <row r="15" spans="1:2" ht="12.75">
      <c r="A15" s="112">
        <v>10.03</v>
      </c>
      <c r="B15" s="112">
        <v>1.91</v>
      </c>
    </row>
    <row r="16" spans="1:2" ht="12.75">
      <c r="A16" s="42">
        <v>11.08</v>
      </c>
      <c r="B16" s="42">
        <v>1.77</v>
      </c>
    </row>
    <row r="21" ht="13.5" thickBot="1"/>
    <row r="22" spans="1:5" ht="13.5" thickBot="1">
      <c r="A22" s="101" t="s">
        <v>78</v>
      </c>
      <c r="B22" s="145"/>
      <c r="C22" s="150">
        <f>Auslegung!D5</f>
        <v>2.9</v>
      </c>
      <c r="D22" s="151">
        <f>E5+E6*C22+E7*C22^2+E8*C22^3+E9*C22^4+E10*C22^5+E11*C22^6+E12*C22^7</f>
        <v>20.542177995829555</v>
      </c>
      <c r="E22" s="146" t="s">
        <v>15</v>
      </c>
    </row>
    <row r="24" ht="12.75">
      <c r="B24" s="165" t="s">
        <v>133</v>
      </c>
    </row>
    <row r="25" ht="12.75">
      <c r="B25" s="165" t="s">
        <v>134</v>
      </c>
    </row>
    <row r="28" ht="12.75">
      <c r="G28" s="165" t="s">
        <v>129</v>
      </c>
    </row>
    <row r="30" spans="6:7" ht="12.75">
      <c r="F30" s="152" t="s">
        <v>105</v>
      </c>
      <c r="G30" s="153" t="s">
        <v>106</v>
      </c>
    </row>
  </sheetData>
  <sheetProtection selectLockedCells="1" selectUnlockedCells="1"/>
  <hyperlinks>
    <hyperlink ref="G30" r:id="rId1" display="http://www.fieldlines.com/story/2006/3/23/233748/134"/>
  </hyperlinks>
  <printOptions/>
  <pageMargins left="0.75" right="0.75" top="1" bottom="1" header="0.4921259845" footer="0.4921259845"/>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RoWiTool III</dc:title>
  <dc:subject>Rohrwindradauslegung</dc:subject>
  <dc:creator>Oli</dc:creator>
  <cp:keywords/>
  <dc:description>Tool zur Berechnung von Zuschnittschablonen für Rohrwindräder (Oli 2011)</dc:description>
  <cp:lastModifiedBy>Georgi</cp:lastModifiedBy>
  <cp:lastPrinted>2012-02-01T18:46:45Z</cp:lastPrinted>
  <dcterms:created xsi:type="dcterms:W3CDTF">2009-11-30T16:16:49Z</dcterms:created>
  <dcterms:modified xsi:type="dcterms:W3CDTF">2012-08-14T19:48:06Z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