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60" windowWidth="16380" windowHeight="8130" tabRatio="657"/>
  </bookViews>
  <sheets>
    <sheet name="Sheet" sheetId="1" r:id="rId1"/>
    <sheet name="Stern" sheetId="5" r:id="rId2"/>
    <sheet name="Dreieck" sheetId="7" r:id="rId3"/>
  </sheets>
  <definedNames>
    <definedName name="solver_adj" localSheetId="0" hidden="1">Sheet!$H$11,Sheet!$D$15,Sheet!$D$16,Sheet!$G$23,Sheet!$D$24,Sheet!$D$29,Sheet!$D$30,Sheet!$D$31,Sheet!$D$32,Sheet!$D$41,Sheet!$D$43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Sheet!$D$15</definedName>
    <definedName name="solver_lhs10" localSheetId="0" hidden="1">Sheet!$D$30</definedName>
    <definedName name="solver_lhs11" localSheetId="0" hidden="1">Sheet!$D$30</definedName>
    <definedName name="solver_lhs12" localSheetId="0" hidden="1">Sheet!$D$31</definedName>
    <definedName name="solver_lhs13" localSheetId="0" hidden="1">Sheet!$D$31</definedName>
    <definedName name="solver_lhs14" localSheetId="0" hidden="1">Sheet!$D$31</definedName>
    <definedName name="solver_lhs15" localSheetId="0" hidden="1">Sheet!$D$32</definedName>
    <definedName name="solver_lhs16" localSheetId="0" hidden="1">Sheet!$D$32</definedName>
    <definedName name="solver_lhs17" localSheetId="0" hidden="1">Sheet!$D$32</definedName>
    <definedName name="solver_lhs18" localSheetId="0" hidden="1">Sheet!$D$41</definedName>
    <definedName name="solver_lhs19" localSheetId="0" hidden="1">Sheet!$D$41</definedName>
    <definedName name="solver_lhs2" localSheetId="0" hidden="1">Sheet!$D$15</definedName>
    <definedName name="solver_lhs20" localSheetId="0" hidden="1">Sheet!$D$43</definedName>
    <definedName name="solver_lhs21" localSheetId="0" hidden="1">Sheet!$D$43</definedName>
    <definedName name="solver_lhs22" localSheetId="0" hidden="1">Sheet!$D$43</definedName>
    <definedName name="solver_lhs23" localSheetId="0" hidden="1">Sheet!$F$18</definedName>
    <definedName name="solver_lhs24" localSheetId="0" hidden="1">Sheet!$F$18</definedName>
    <definedName name="solver_lhs25" localSheetId="0" hidden="1">Sheet!$F$47</definedName>
    <definedName name="solver_lhs26" localSheetId="0" hidden="1">Sheet!$F$78</definedName>
    <definedName name="solver_lhs27" localSheetId="0" hidden="1">Sheet!$G$23</definedName>
    <definedName name="solver_lhs28" localSheetId="0" hidden="1">Sheet!$G$23</definedName>
    <definedName name="solver_lhs29" localSheetId="0" hidden="1">Sheet!$G$23</definedName>
    <definedName name="solver_lhs3" localSheetId="0" hidden="1">Sheet!$D$16</definedName>
    <definedName name="solver_lhs30" localSheetId="0" hidden="1">Sheet!#REF!</definedName>
    <definedName name="solver_lhs31" localSheetId="0" hidden="1">Sheet!$H$11</definedName>
    <definedName name="solver_lhs32" localSheetId="0" hidden="1">Sheet!$H$11</definedName>
    <definedName name="solver_lhs33" localSheetId="0" hidden="1">Sheet!$H$11</definedName>
    <definedName name="solver_lhs34" localSheetId="0" hidden="1">Sheet!$H$11</definedName>
    <definedName name="solver_lhs4" localSheetId="0" hidden="1">Sheet!$D$16</definedName>
    <definedName name="solver_lhs5" localSheetId="0" hidden="1">Sheet!$D$24</definedName>
    <definedName name="solver_lhs6" localSheetId="0" hidden="1">Sheet!$D$24</definedName>
    <definedName name="solver_lhs7" localSheetId="0" hidden="1">Sheet!$D$29</definedName>
    <definedName name="solver_lhs8" localSheetId="0" hidden="1">Sheet!$D$29</definedName>
    <definedName name="solver_lhs9" localSheetId="0" hidden="1">Sheet!$D$30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33</definedName>
    <definedName name="solver_nwt" localSheetId="0" hidden="1">1</definedName>
    <definedName name="solver_opt" localSheetId="0" hidden="1">Sheet!$F$83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10" localSheetId="0" hidden="1">4</definedName>
    <definedName name="solver_rel11" localSheetId="0" hidden="1">3</definedName>
    <definedName name="solver_rel12" localSheetId="0" hidden="1">1</definedName>
    <definedName name="solver_rel13" localSheetId="0" hidden="1">4</definedName>
    <definedName name="solver_rel14" localSheetId="0" hidden="1">3</definedName>
    <definedName name="solver_rel15" localSheetId="0" hidden="1">1</definedName>
    <definedName name="solver_rel16" localSheetId="0" hidden="1">4</definedName>
    <definedName name="solver_rel17" localSheetId="0" hidden="1">3</definedName>
    <definedName name="solver_rel18" localSheetId="0" hidden="1">1</definedName>
    <definedName name="solver_rel19" localSheetId="0" hidden="1">3</definedName>
    <definedName name="solver_rel2" localSheetId="0" hidden="1">3</definedName>
    <definedName name="solver_rel20" localSheetId="0" hidden="1">1</definedName>
    <definedName name="solver_rel21" localSheetId="0" hidden="1">4</definedName>
    <definedName name="solver_rel22" localSheetId="0" hidden="1">3</definedName>
    <definedName name="solver_rel23" localSheetId="0" hidden="1">1</definedName>
    <definedName name="solver_rel24" localSheetId="0" hidden="1">3</definedName>
    <definedName name="solver_rel25" localSheetId="0" hidden="1">1</definedName>
    <definedName name="solver_rel26" localSheetId="0" hidden="1">1</definedName>
    <definedName name="solver_rel27" localSheetId="0" hidden="1">1</definedName>
    <definedName name="solver_rel28" localSheetId="0" hidden="1">4</definedName>
    <definedName name="solver_rel29" localSheetId="0" hidden="1">3</definedName>
    <definedName name="solver_rel3" localSheetId="0" hidden="1">1</definedName>
    <definedName name="solver_rel30" localSheetId="0" hidden="1">1</definedName>
    <definedName name="solver_rel31" localSheetId="0" hidden="1">1</definedName>
    <definedName name="solver_rel32" localSheetId="0" hidden="1">4</definedName>
    <definedName name="solver_rel33" localSheetId="0" hidden="1">3</definedName>
    <definedName name="solver_rel34" localSheetId="0" hidden="1">3</definedName>
    <definedName name="solver_rel4" localSheetId="0" hidden="1">3</definedName>
    <definedName name="solver_rel5" localSheetId="0" hidden="1">1</definedName>
    <definedName name="solver_rel6" localSheetId="0" hidden="1">3</definedName>
    <definedName name="solver_rel7" localSheetId="0" hidden="1">1</definedName>
    <definedName name="solver_rel8" localSheetId="0" hidden="1">3</definedName>
    <definedName name="solver_rel9" localSheetId="0" hidden="1">1</definedName>
    <definedName name="solver_rhs1" localSheetId="0" hidden="1">Sheet!#REF!</definedName>
    <definedName name="solver_rhs10" localSheetId="0" hidden="1">Ganzzahlig</definedName>
    <definedName name="solver_rhs11" localSheetId="0" hidden="1">Sheet!#REF!</definedName>
    <definedName name="solver_rhs12" localSheetId="0" hidden="1">Sheet!#REF!</definedName>
    <definedName name="solver_rhs13" localSheetId="0" hidden="1">Ganzzahlig</definedName>
    <definedName name="solver_rhs14" localSheetId="0" hidden="1">Sheet!#REF!</definedName>
    <definedName name="solver_rhs15" localSheetId="0" hidden="1">Sheet!#REF!</definedName>
    <definedName name="solver_rhs16" localSheetId="0" hidden="1">Ganzzahlig</definedName>
    <definedName name="solver_rhs17" localSheetId="0" hidden="1">Sheet!#REF!</definedName>
    <definedName name="solver_rhs18" localSheetId="0" hidden="1">Sheet!#REF!</definedName>
    <definedName name="solver_rhs19" localSheetId="0" hidden="1">Sheet!#REF!</definedName>
    <definedName name="solver_rhs2" localSheetId="0" hidden="1">Sheet!#REF!</definedName>
    <definedName name="solver_rhs20" localSheetId="0" hidden="1">Sheet!#REF!</definedName>
    <definedName name="solver_rhs21" localSheetId="0" hidden="1">Ganzzahlig</definedName>
    <definedName name="solver_rhs22" localSheetId="0" hidden="1">Sheet!#REF!</definedName>
    <definedName name="solver_rhs23" localSheetId="0" hidden="1">Sheet!#REF!</definedName>
    <definedName name="solver_rhs24" localSheetId="0" hidden="1">Sheet!#REF!</definedName>
    <definedName name="solver_rhs25" localSheetId="0" hidden="1">Sheet!#REF!</definedName>
    <definedName name="solver_rhs26" localSheetId="0" hidden="1">Sheet!$G$42</definedName>
    <definedName name="solver_rhs27" localSheetId="0" hidden="1">Sheet!#REF!</definedName>
    <definedName name="solver_rhs28" localSheetId="0" hidden="1">Ganzzahlig</definedName>
    <definedName name="solver_rhs29" localSheetId="0" hidden="1">Sheet!#REF!</definedName>
    <definedName name="solver_rhs3" localSheetId="0" hidden="1">Sheet!#REF!</definedName>
    <definedName name="solver_rhs30" localSheetId="0" hidden="1">Sheet!#REF!</definedName>
    <definedName name="solver_rhs31" localSheetId="0" hidden="1">Sheet!#REF!</definedName>
    <definedName name="solver_rhs32" localSheetId="0" hidden="1">Ganzzahlig</definedName>
    <definedName name="solver_rhs33" localSheetId="0" hidden="1">Sheet!#REF!</definedName>
    <definedName name="solver_rhs34" localSheetId="0" hidden="1">Sheet!#REF!</definedName>
    <definedName name="solver_rhs4" localSheetId="0" hidden="1">Sheet!#REF!</definedName>
    <definedName name="solver_rhs5" localSheetId="0" hidden="1">Sheet!#REF!</definedName>
    <definedName name="solver_rhs6" localSheetId="0" hidden="1">Sheet!#REF!</definedName>
    <definedName name="solver_rhs7" localSheetId="0" hidden="1">Sheet!#REF!</definedName>
    <definedName name="solver_rhs8" localSheetId="0" hidden="1">Sheet!#REF!</definedName>
    <definedName name="solver_rhs9" localSheetId="0" hidden="1">Sheet!#REF!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E41" i="1" l="1"/>
  <c r="B29" i="7" l="1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E7" i="7"/>
  <c r="E8" i="7" s="1"/>
  <c r="B7" i="7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7" i="5"/>
  <c r="G41" i="1"/>
  <c r="G42" i="1" s="1"/>
  <c r="E7" i="5"/>
  <c r="E8" i="5" s="1"/>
  <c r="E9" i="5" s="1"/>
  <c r="E10" i="5" s="1"/>
  <c r="E11" i="5" s="1"/>
  <c r="E12" i="5" s="1"/>
  <c r="F75" i="1"/>
  <c r="F50" i="1"/>
  <c r="F5" i="1"/>
  <c r="F7" i="1" s="1"/>
  <c r="F90" i="1"/>
  <c r="D80" i="1"/>
  <c r="F25" i="1"/>
  <c r="F18" i="1"/>
  <c r="F19" i="1"/>
  <c r="F11" i="1" l="1"/>
  <c r="E9" i="7"/>
  <c r="F35" i="1"/>
  <c r="F47" i="1" s="1"/>
  <c r="F37" i="1"/>
  <c r="C11" i="7" s="1"/>
  <c r="D11" i="7" s="1"/>
  <c r="E13" i="5"/>
  <c r="C12" i="7" l="1"/>
  <c r="D12" i="7" s="1"/>
  <c r="F12" i="1"/>
  <c r="F14" i="1"/>
  <c r="C20" i="7"/>
  <c r="D20" i="7" s="1"/>
  <c r="C15" i="7"/>
  <c r="D15" i="7" s="1"/>
  <c r="C23" i="7"/>
  <c r="D23" i="7" s="1"/>
  <c r="C25" i="5"/>
  <c r="C27" i="7"/>
  <c r="D27" i="7" s="1"/>
  <c r="C8" i="7"/>
  <c r="D8" i="7" s="1"/>
  <c r="C24" i="7"/>
  <c r="D24" i="7" s="1"/>
  <c r="C14" i="5"/>
  <c r="C7" i="5"/>
  <c r="C9" i="7"/>
  <c r="D9" i="7" s="1"/>
  <c r="C25" i="7"/>
  <c r="D25" i="7" s="1"/>
  <c r="C14" i="7"/>
  <c r="D14" i="7" s="1"/>
  <c r="C7" i="7"/>
  <c r="D7" i="7" s="1"/>
  <c r="C20" i="5"/>
  <c r="C17" i="5"/>
  <c r="C28" i="7"/>
  <c r="D28" i="7" s="1"/>
  <c r="C18" i="5"/>
  <c r="C11" i="5"/>
  <c r="C13" i="7"/>
  <c r="D13" i="7" s="1"/>
  <c r="C29" i="7"/>
  <c r="D29" i="7" s="1"/>
  <c r="C15" i="5"/>
  <c r="C18" i="7"/>
  <c r="D18" i="7" s="1"/>
  <c r="C8" i="5"/>
  <c r="C24" i="5"/>
  <c r="C21" i="5"/>
  <c r="C19" i="7"/>
  <c r="D19" i="7" s="1"/>
  <c r="C13" i="5"/>
  <c r="C16" i="7"/>
  <c r="D16" i="7" s="1"/>
  <c r="C22" i="5"/>
  <c r="C19" i="5"/>
  <c r="C17" i="7"/>
  <c r="D17" i="7" s="1"/>
  <c r="C23" i="5"/>
  <c r="C22" i="7"/>
  <c r="D22" i="7" s="1"/>
  <c r="C12" i="5"/>
  <c r="C28" i="5"/>
  <c r="D28" i="5" s="1"/>
  <c r="C29" i="5"/>
  <c r="D29" i="5" s="1"/>
  <c r="C10" i="5"/>
  <c r="C26" i="5"/>
  <c r="C27" i="5"/>
  <c r="C21" i="7"/>
  <c r="D21" i="7" s="1"/>
  <c r="C10" i="7"/>
  <c r="D10" i="7" s="1"/>
  <c r="C26" i="7"/>
  <c r="D26" i="7" s="1"/>
  <c r="C16" i="5"/>
  <c r="C9" i="5"/>
  <c r="E10" i="7"/>
  <c r="H47" i="1"/>
  <c r="F55" i="1"/>
  <c r="F57" i="1" s="1"/>
  <c r="F76" i="1"/>
  <c r="F77" i="1" s="1"/>
  <c r="F49" i="1"/>
  <c r="H49" i="1" s="1"/>
  <c r="F91" i="1"/>
  <c r="F92" i="1" s="1"/>
  <c r="F59" i="1"/>
  <c r="F61" i="1" s="1"/>
  <c r="E14" i="5"/>
  <c r="E11" i="7" l="1"/>
  <c r="F69" i="1"/>
  <c r="F13" i="7" s="1"/>
  <c r="F60" i="1"/>
  <c r="F67" i="1"/>
  <c r="F56" i="1"/>
  <c r="E15" i="5"/>
  <c r="F29" i="7" l="1"/>
  <c r="G29" i="7" s="1"/>
  <c r="F18" i="7"/>
  <c r="G18" i="7" s="1"/>
  <c r="F27" i="7"/>
  <c r="H27" i="7" s="1"/>
  <c r="F24" i="7"/>
  <c r="H24" i="7" s="1"/>
  <c r="F16" i="7"/>
  <c r="G16" i="7" s="1"/>
  <c r="F9" i="7"/>
  <c r="H9" i="7" s="1"/>
  <c r="F22" i="7"/>
  <c r="G22" i="7" s="1"/>
  <c r="F93" i="1"/>
  <c r="F94" i="1" s="1"/>
  <c r="F20" i="7"/>
  <c r="F26" i="7"/>
  <c r="F28" i="7"/>
  <c r="F11" i="7"/>
  <c r="F15" i="7"/>
  <c r="F23" i="7"/>
  <c r="F12" i="7"/>
  <c r="F14" i="7"/>
  <c r="F7" i="7"/>
  <c r="F8" i="7"/>
  <c r="F25" i="7"/>
  <c r="G13" i="7"/>
  <c r="H13" i="7"/>
  <c r="F29" i="5"/>
  <c r="F28" i="5"/>
  <c r="F21" i="7"/>
  <c r="F10" i="7"/>
  <c r="F19" i="7"/>
  <c r="F17" i="7"/>
  <c r="E12" i="7"/>
  <c r="F78" i="1"/>
  <c r="E16" i="5"/>
  <c r="G9" i="7" l="1"/>
  <c r="I9" i="7" s="1"/>
  <c r="J9" i="7" s="1"/>
  <c r="L9" i="7" s="1"/>
  <c r="G24" i="7"/>
  <c r="I24" i="7" s="1"/>
  <c r="J24" i="7" s="1"/>
  <c r="L24" i="7" s="1"/>
  <c r="H18" i="7"/>
  <c r="I18" i="7" s="1"/>
  <c r="J18" i="7" s="1"/>
  <c r="L18" i="7" s="1"/>
  <c r="H16" i="7"/>
  <c r="I16" i="7" s="1"/>
  <c r="J16" i="7" s="1"/>
  <c r="L16" i="7" s="1"/>
  <c r="H29" i="7"/>
  <c r="I29" i="7" s="1"/>
  <c r="J29" i="7" s="1"/>
  <c r="L29" i="7" s="1"/>
  <c r="K9" i="7"/>
  <c r="F97" i="1"/>
  <c r="F98" i="1" s="1"/>
  <c r="G27" i="7"/>
  <c r="I27" i="7" s="1"/>
  <c r="J27" i="7" s="1"/>
  <c r="L27" i="7" s="1"/>
  <c r="H22" i="7"/>
  <c r="I22" i="7" s="1"/>
  <c r="J22" i="7" s="1"/>
  <c r="L22" i="7" s="1"/>
  <c r="I13" i="7"/>
  <c r="J13" i="7" s="1"/>
  <c r="L13" i="7" s="1"/>
  <c r="G14" i="7"/>
  <c r="H14" i="7"/>
  <c r="G11" i="7"/>
  <c r="H11" i="7"/>
  <c r="F96" i="1"/>
  <c r="G17" i="7"/>
  <c r="H17" i="7"/>
  <c r="G25" i="7"/>
  <c r="H25" i="7"/>
  <c r="G12" i="7"/>
  <c r="H12" i="7"/>
  <c r="G28" i="7"/>
  <c r="H28" i="7"/>
  <c r="G23" i="7"/>
  <c r="H23" i="7"/>
  <c r="G26" i="7"/>
  <c r="H26" i="7"/>
  <c r="G19" i="7"/>
  <c r="H19" i="7"/>
  <c r="G8" i="7"/>
  <c r="K8" i="7"/>
  <c r="H8" i="7"/>
  <c r="K11" i="7"/>
  <c r="G10" i="7"/>
  <c r="H10" i="7"/>
  <c r="K10" i="7"/>
  <c r="H7" i="7"/>
  <c r="G7" i="7"/>
  <c r="K7" i="7"/>
  <c r="G15" i="7"/>
  <c r="H15" i="7"/>
  <c r="G20" i="7"/>
  <c r="H20" i="7"/>
  <c r="G21" i="7"/>
  <c r="H21" i="7"/>
  <c r="F81" i="1"/>
  <c r="F79" i="1"/>
  <c r="F80" i="1" s="1"/>
  <c r="K12" i="7"/>
  <c r="E13" i="7"/>
  <c r="F82" i="1"/>
  <c r="F95" i="1"/>
  <c r="F101" i="1" s="1"/>
  <c r="E17" i="5"/>
  <c r="I17" i="7" l="1"/>
  <c r="J17" i="7" s="1"/>
  <c r="L17" i="7" s="1"/>
  <c r="I8" i="7"/>
  <c r="J8" i="7" s="1"/>
  <c r="L8" i="7" s="1"/>
  <c r="I15" i="7"/>
  <c r="J15" i="7" s="1"/>
  <c r="L15" i="7" s="1"/>
  <c r="I7" i="7"/>
  <c r="J7" i="7" s="1"/>
  <c r="L7" i="7" s="1"/>
  <c r="I10" i="7"/>
  <c r="J10" i="7" s="1"/>
  <c r="L10" i="7" s="1"/>
  <c r="I26" i="7"/>
  <c r="J26" i="7" s="1"/>
  <c r="L26" i="7" s="1"/>
  <c r="I12" i="7"/>
  <c r="J12" i="7" s="1"/>
  <c r="L12" i="7" s="1"/>
  <c r="I11" i="7"/>
  <c r="J11" i="7" s="1"/>
  <c r="L11" i="7" s="1"/>
  <c r="I21" i="7"/>
  <c r="J21" i="7" s="1"/>
  <c r="L21" i="7" s="1"/>
  <c r="I20" i="7"/>
  <c r="J20" i="7" s="1"/>
  <c r="L20" i="7" s="1"/>
  <c r="I19" i="7"/>
  <c r="J19" i="7" s="1"/>
  <c r="L19" i="7" s="1"/>
  <c r="I23" i="7"/>
  <c r="I28" i="7"/>
  <c r="J28" i="7" s="1"/>
  <c r="L28" i="7" s="1"/>
  <c r="I25" i="7"/>
  <c r="J25" i="7" s="1"/>
  <c r="L25" i="7" s="1"/>
  <c r="I14" i="7"/>
  <c r="J14" i="7" s="1"/>
  <c r="L14" i="7" s="1"/>
  <c r="F83" i="1"/>
  <c r="F84" i="1" s="1"/>
  <c r="E14" i="7"/>
  <c r="K13" i="7"/>
  <c r="F100" i="1"/>
  <c r="F99" i="1"/>
  <c r="E18" i="5"/>
  <c r="J23" i="7" l="1"/>
  <c r="L23" i="7" s="1"/>
  <c r="E15" i="7"/>
  <c r="K14" i="7"/>
  <c r="F85" i="1"/>
  <c r="F86" i="1"/>
  <c r="E19" i="5"/>
  <c r="E16" i="7" l="1"/>
  <c r="K15" i="7"/>
  <c r="E20" i="5"/>
  <c r="K16" i="7" l="1"/>
  <c r="E17" i="7"/>
  <c r="E21" i="5"/>
  <c r="E18" i="7" l="1"/>
  <c r="K17" i="7"/>
  <c r="E22" i="5"/>
  <c r="E19" i="7" l="1"/>
  <c r="K18" i="7"/>
  <c r="E23" i="5"/>
  <c r="E20" i="7" l="1"/>
  <c r="K19" i="7"/>
  <c r="E24" i="5"/>
  <c r="K20" i="7" l="1"/>
  <c r="E21" i="7"/>
  <c r="E25" i="5"/>
  <c r="E22" i="7" l="1"/>
  <c r="K21" i="7"/>
  <c r="E26" i="5"/>
  <c r="E23" i="7" l="1"/>
  <c r="K22" i="7"/>
  <c r="E27" i="5"/>
  <c r="E24" i="7" l="1"/>
  <c r="K23" i="7"/>
  <c r="E28" i="5"/>
  <c r="K24" i="7" l="1"/>
  <c r="E25" i="7"/>
  <c r="E29" i="5"/>
  <c r="E26" i="7" l="1"/>
  <c r="K25" i="7"/>
  <c r="H28" i="5"/>
  <c r="D26" i="5" s="1"/>
  <c r="F26" i="5" s="1"/>
  <c r="G28" i="5"/>
  <c r="K28" i="5"/>
  <c r="E27" i="7" l="1"/>
  <c r="K26" i="7"/>
  <c r="H26" i="5"/>
  <c r="G26" i="5"/>
  <c r="K26" i="5"/>
  <c r="H29" i="5"/>
  <c r="D27" i="5" s="1"/>
  <c r="F27" i="5" s="1"/>
  <c r="G29" i="5"/>
  <c r="I28" i="5"/>
  <c r="J28" i="5" s="1"/>
  <c r="L28" i="5" s="1"/>
  <c r="K29" i="5"/>
  <c r="E28" i="7" l="1"/>
  <c r="K27" i="7"/>
  <c r="D24" i="5"/>
  <c r="F24" i="5" s="1"/>
  <c r="I26" i="5"/>
  <c r="J26" i="5" s="1"/>
  <c r="L26" i="5" s="1"/>
  <c r="H27" i="5"/>
  <c r="G27" i="5"/>
  <c r="K27" i="5"/>
  <c r="I29" i="5"/>
  <c r="J29" i="5" l="1"/>
  <c r="L29" i="5" s="1"/>
  <c r="K28" i="7"/>
  <c r="E29" i="7"/>
  <c r="K29" i="7" s="1"/>
  <c r="H24" i="5"/>
  <c r="G24" i="5"/>
  <c r="K24" i="5"/>
  <c r="D25" i="5"/>
  <c r="F25" i="5" s="1"/>
  <c r="I27" i="5"/>
  <c r="J27" i="5" s="1"/>
  <c r="L27" i="5" s="1"/>
  <c r="H25" i="5" l="1"/>
  <c r="G25" i="5"/>
  <c r="K25" i="5"/>
  <c r="D22" i="5"/>
  <c r="F22" i="5" s="1"/>
  <c r="I24" i="5"/>
  <c r="J24" i="5" s="1"/>
  <c r="L24" i="5" s="1"/>
  <c r="H22" i="5" l="1"/>
  <c r="G22" i="5"/>
  <c r="K22" i="5"/>
  <c r="D23" i="5"/>
  <c r="F23" i="5" s="1"/>
  <c r="I25" i="5"/>
  <c r="J25" i="5" s="1"/>
  <c r="L25" i="5" s="1"/>
  <c r="H23" i="5" l="1"/>
  <c r="G23" i="5"/>
  <c r="K23" i="5"/>
  <c r="D20" i="5"/>
  <c r="F20" i="5" s="1"/>
  <c r="I22" i="5"/>
  <c r="J22" i="5" s="1"/>
  <c r="L22" i="5" s="1"/>
  <c r="G20" i="5" l="1"/>
  <c r="H20" i="5"/>
  <c r="K20" i="5"/>
  <c r="D21" i="5"/>
  <c r="F21" i="5" s="1"/>
  <c r="I23" i="5"/>
  <c r="J23" i="5" s="1"/>
  <c r="L23" i="5" s="1"/>
  <c r="H21" i="5" l="1"/>
  <c r="G21" i="5"/>
  <c r="K21" i="5"/>
  <c r="I20" i="5"/>
  <c r="J20" i="5" s="1"/>
  <c r="L20" i="5" s="1"/>
  <c r="D18" i="5"/>
  <c r="F18" i="5" s="1"/>
  <c r="H18" i="5" l="1"/>
  <c r="G18" i="5"/>
  <c r="K18" i="5"/>
  <c r="D19" i="5"/>
  <c r="F19" i="5" s="1"/>
  <c r="I21" i="5"/>
  <c r="J21" i="5" s="1"/>
  <c r="L21" i="5" s="1"/>
  <c r="H19" i="5" l="1"/>
  <c r="G19" i="5"/>
  <c r="K19" i="5"/>
  <c r="D16" i="5"/>
  <c r="F16" i="5" s="1"/>
  <c r="I18" i="5"/>
  <c r="J18" i="5" s="1"/>
  <c r="L18" i="5" s="1"/>
  <c r="G16" i="5" l="1"/>
  <c r="K16" i="5"/>
  <c r="H16" i="5"/>
  <c r="D17" i="5"/>
  <c r="F17" i="5" s="1"/>
  <c r="I19" i="5"/>
  <c r="J19" i="5" s="1"/>
  <c r="L19" i="5" s="1"/>
  <c r="G17" i="5" l="1"/>
  <c r="H17" i="5"/>
  <c r="K17" i="5"/>
  <c r="D14" i="5"/>
  <c r="F14" i="5" s="1"/>
  <c r="I16" i="5"/>
  <c r="J16" i="5" s="1"/>
  <c r="L16" i="5" s="1"/>
  <c r="G14" i="5" l="1"/>
  <c r="K14" i="5"/>
  <c r="H14" i="5"/>
  <c r="D15" i="5"/>
  <c r="F15" i="5" s="1"/>
  <c r="I17" i="5"/>
  <c r="J17" i="5" s="1"/>
  <c r="L17" i="5" s="1"/>
  <c r="G15" i="5" l="1"/>
  <c r="K15" i="5"/>
  <c r="H15" i="5"/>
  <c r="D12" i="5"/>
  <c r="F12" i="5" s="1"/>
  <c r="I14" i="5"/>
  <c r="J14" i="5" s="1"/>
  <c r="L14" i="5" s="1"/>
  <c r="K12" i="5" l="1"/>
  <c r="G12" i="5"/>
  <c r="H12" i="5"/>
  <c r="D13" i="5"/>
  <c r="F13" i="5" s="1"/>
  <c r="G13" i="5" s="1"/>
  <c r="I15" i="5"/>
  <c r="J15" i="5" s="1"/>
  <c r="L15" i="5" s="1"/>
  <c r="K13" i="5" l="1"/>
  <c r="H13" i="5"/>
  <c r="D10" i="5"/>
  <c r="F10" i="5" s="1"/>
  <c r="I12" i="5"/>
  <c r="J12" i="5" s="1"/>
  <c r="L12" i="5" s="1"/>
  <c r="G10" i="5" l="1"/>
  <c r="H10" i="5"/>
  <c r="K10" i="5"/>
  <c r="D11" i="5"/>
  <c r="F11" i="5" s="1"/>
  <c r="I13" i="5"/>
  <c r="J13" i="5" s="1"/>
  <c r="L13" i="5" s="1"/>
  <c r="H11" i="5" l="1"/>
  <c r="G11" i="5"/>
  <c r="K11" i="5"/>
  <c r="D8" i="5"/>
  <c r="F8" i="5" s="1"/>
  <c r="I10" i="5"/>
  <c r="J10" i="5" s="1"/>
  <c r="L10" i="5" s="1"/>
  <c r="G8" i="5" l="1"/>
  <c r="H8" i="5"/>
  <c r="K8" i="5"/>
  <c r="D9" i="5"/>
  <c r="F9" i="5" s="1"/>
  <c r="I11" i="5"/>
  <c r="J11" i="5" s="1"/>
  <c r="L11" i="5" s="1"/>
  <c r="G9" i="5" l="1"/>
  <c r="H9" i="5"/>
  <c r="K9" i="5"/>
  <c r="I8" i="5"/>
  <c r="J8" i="5" s="1"/>
  <c r="L8" i="5" s="1"/>
  <c r="D7" i="5" l="1"/>
  <c r="F7" i="5" s="1"/>
  <c r="G7" i="5" s="1"/>
  <c r="I9" i="5"/>
  <c r="J9" i="5" s="1"/>
  <c r="L9" i="5" s="1"/>
  <c r="K7" i="5" l="1"/>
  <c r="H7" i="5"/>
  <c r="I7" i="5" s="1"/>
  <c r="J7" i="5" l="1"/>
  <c r="L7" i="5" s="1"/>
</calcChain>
</file>

<file path=xl/sharedStrings.xml><?xml version="1.0" encoding="utf-8"?>
<sst xmlns="http://schemas.openxmlformats.org/spreadsheetml/2006/main" count="241" uniqueCount="146">
  <si>
    <t>Scheibengenerator Berechnung V1.7</t>
  </si>
  <si>
    <t>1. Ladebeginn ausrechnen:</t>
  </si>
  <si>
    <t>Variablen einsetzen:</t>
  </si>
  <si>
    <t>Resultate:</t>
  </si>
  <si>
    <t>Einheit:</t>
  </si>
  <si>
    <t>Schnellaufzahl</t>
  </si>
  <si>
    <t>1. TSR (n)</t>
  </si>
  <si>
    <t>Umdrehungen/Minute</t>
  </si>
  <si>
    <t>RPM ( U / min)</t>
  </si>
  <si>
    <t>Windgeschw. (NUR für Ladebeginn)</t>
  </si>
  <si>
    <t>2. V (m/s)</t>
  </si>
  <si>
    <t>Durchmesser</t>
  </si>
  <si>
    <t>3. D (m)</t>
  </si>
  <si>
    <t>Umdrehungen/Sekunde</t>
  </si>
  <si>
    <t>RPS ( U / Sek)</t>
  </si>
  <si>
    <t>2. Geschwindigkeit der Spulen:</t>
  </si>
  <si>
    <t>Anzahl Spulen</t>
  </si>
  <si>
    <t>1. Spulen (n)</t>
  </si>
  <si>
    <t>Umfang in Loch-Mitte</t>
  </si>
  <si>
    <t>m</t>
  </si>
  <si>
    <t>Maße der Spule</t>
  </si>
  <si>
    <t>&gt; Radius bei Lochmitte</t>
  </si>
  <si>
    <t>mm</t>
  </si>
  <si>
    <t>Spulenlochlänge</t>
  </si>
  <si>
    <t>2. Länge(mm)</t>
  </si>
  <si>
    <t>Spulenlochbreite aussen</t>
  </si>
  <si>
    <t>3. Breite(mm)</t>
  </si>
  <si>
    <t>Geschw. In Mitte Spulenlöcher</t>
  </si>
  <si>
    <t>m/s</t>
  </si>
  <si>
    <t>Spulenlochbreite innen</t>
  </si>
  <si>
    <t>4. Breite(mm)</t>
  </si>
  <si>
    <t>Schenkelbreite (von oben gesehen)</t>
  </si>
  <si>
    <t>5. Breite(mm)</t>
  </si>
  <si>
    <t>Abstand zw. Spulen</t>
  </si>
  <si>
    <t>6. Abstand (mm)</t>
  </si>
  <si>
    <t>Abstand Spulenende zu Statorrand</t>
  </si>
  <si>
    <t xml:space="preserve">7. Abstand (mm) </t>
  </si>
  <si>
    <t>Statordurchmesser</t>
  </si>
  <si>
    <t>cm</t>
  </si>
  <si>
    <t>Magnetscheibendurchmesser</t>
  </si>
  <si>
    <t>(Nur Annäherungswerte)</t>
  </si>
  <si>
    <t>3. Magnetische Flussdichte:</t>
  </si>
  <si>
    <t>N52</t>
  </si>
  <si>
    <t>N50</t>
  </si>
  <si>
    <t>Dicke Magnet</t>
  </si>
  <si>
    <t>1. Dicke (mm)</t>
  </si>
  <si>
    <t>N48</t>
  </si>
  <si>
    <t>Luftspalt zwischen Magneten</t>
  </si>
  <si>
    <t>2. Abstand (mm)</t>
  </si>
  <si>
    <t>&gt;&gt; Max 2xMagnetdicke !</t>
  </si>
  <si>
    <t>N45</t>
  </si>
  <si>
    <t>Wertigkeit Magnet</t>
  </si>
  <si>
    <t>3. Grad ( Tesla)</t>
  </si>
  <si>
    <t>Magnetische Flussdichte:</t>
  </si>
  <si>
    <t>Tesla</t>
  </si>
  <si>
    <t>N42</t>
  </si>
  <si>
    <t>N40</t>
  </si>
  <si>
    <t>4. Anzahl der benötigten Wicklungen:</t>
  </si>
  <si>
    <t>Systemspannung (12V,24V,48V,240V,...)</t>
  </si>
  <si>
    <t>1. Spannung (Volt)</t>
  </si>
  <si>
    <t>Breite Magnet</t>
  </si>
  <si>
    <t>Länge Magnet</t>
  </si>
  <si>
    <t>4. Länge(mm)</t>
  </si>
  <si>
    <t>Anzahl Magnet-Pole</t>
  </si>
  <si>
    <t>5. Magnetpole (n)</t>
  </si>
  <si>
    <t>Anzahl Phasen</t>
  </si>
  <si>
    <t>6. Phasen (n)</t>
  </si>
  <si>
    <t>a) Sternschaltung (Y)</t>
  </si>
  <si>
    <t>Anzahl Wicklungen/Spule</t>
  </si>
  <si>
    <t>Wicklungen</t>
  </si>
  <si>
    <t>b) Dreieckschaltung (D)</t>
  </si>
  <si>
    <t>5. Spulenschenkeldicke (Höhe)</t>
  </si>
  <si>
    <t>Drahtdurchmesser</t>
  </si>
  <si>
    <t>1. D (mm)</t>
  </si>
  <si>
    <t>Packdichte</t>
  </si>
  <si>
    <t>2. Dichte(Faktor)</t>
  </si>
  <si>
    <t>Drähte in Hand</t>
  </si>
  <si>
    <t>3. Anzahl (n)</t>
  </si>
  <si>
    <t>Schichtdicke Laminat über den Spulen</t>
  </si>
  <si>
    <t>4. Dicke (mm)</t>
  </si>
  <si>
    <t>(je Statorseite)</t>
  </si>
  <si>
    <t>Ohm</t>
  </si>
  <si>
    <t>Abstand zwischen Stator und Magneten</t>
  </si>
  <si>
    <t>5. Abstand (mm)</t>
  </si>
  <si>
    <t>U/min</t>
  </si>
  <si>
    <t>Dicke(Höhe)</t>
  </si>
  <si>
    <t>V</t>
  </si>
  <si>
    <t>wenn rot, dann zu dick !</t>
  </si>
  <si>
    <t>Strom</t>
  </si>
  <si>
    <t>A</t>
  </si>
  <si>
    <t>Leistung Rotor</t>
  </si>
  <si>
    <t>Dicke(Höhe) max.</t>
  </si>
  <si>
    <t>6. Drahtlänge:</t>
  </si>
  <si>
    <t>%</t>
  </si>
  <si>
    <t>Drahtlänge/Spule</t>
  </si>
  <si>
    <t>Gesamtlänge aller Spulen</t>
  </si>
  <si>
    <t>Gesamtgewicht aller Spulen</t>
  </si>
  <si>
    <t>g</t>
  </si>
  <si>
    <t>7. Innenwiderstand</t>
  </si>
  <si>
    <t>Spezifischer Widerstand des Drahtes</t>
  </si>
  <si>
    <t>1. Widerstand (ohm)</t>
  </si>
  <si>
    <t>Gesamtinnenwiderstand</t>
  </si>
  <si>
    <t>8. Leistung / Wirkungsgrad:</t>
  </si>
  <si>
    <t>(gilt nur für den Fall von Batterieladung)</t>
  </si>
  <si>
    <t>Luftdichte</t>
  </si>
  <si>
    <t>Kg/m' 3</t>
  </si>
  <si>
    <t>Watt</t>
  </si>
  <si>
    <t>Rotorwirkungsgrad</t>
  </si>
  <si>
    <t>Ladestrom vor Gleichrichter</t>
  </si>
  <si>
    <t>Spannungsabfall Gleichrichter</t>
  </si>
  <si>
    <t>Leistung Generator</t>
  </si>
  <si>
    <t>Windgeschwindigkeit (für Leistungsber.)</t>
  </si>
  <si>
    <t>Wirkungsgrad Generator</t>
  </si>
  <si>
    <t>Verlustleistung Generator</t>
  </si>
  <si>
    <t>Verluste durch Gleichrichter</t>
  </si>
  <si>
    <t>Ladeleistung an Batterie</t>
  </si>
  <si>
    <t>Ladestrom nach Gleichrichter</t>
  </si>
  <si>
    <t>Wirk-grad Gen +Gleichrichter</t>
  </si>
  <si>
    <t>Gesamtwirkungsgrad Anlage</t>
  </si>
  <si>
    <t>Wirbelstromverluste</t>
  </si>
  <si>
    <t>Leistung</t>
  </si>
  <si>
    <t>Leistung inkl. Wirbelströme</t>
  </si>
  <si>
    <t>Drehzahl bei Windgeschwindigkeit</t>
  </si>
  <si>
    <t>[m/s]</t>
  </si>
  <si>
    <t>[W]</t>
  </si>
  <si>
    <t>Wingeschw.</t>
  </si>
  <si>
    <t>Verlust Wirbels.</t>
  </si>
  <si>
    <t>[V]</t>
  </si>
  <si>
    <t>[A]</t>
  </si>
  <si>
    <t>Berechnungen bei Sternschaltung</t>
  </si>
  <si>
    <t>Batteriespannung</t>
  </si>
  <si>
    <t>Pv Geni</t>
  </si>
  <si>
    <t>Pmech</t>
  </si>
  <si>
    <t>Pv Gleichrichter</t>
  </si>
  <si>
    <t>Plade</t>
  </si>
  <si>
    <t>Pv Gesamt</t>
  </si>
  <si>
    <t>p% Geni</t>
  </si>
  <si>
    <t>[%]</t>
  </si>
  <si>
    <t>p% Gesamt</t>
  </si>
  <si>
    <t>Querschnitt</t>
  </si>
  <si>
    <t>zulässige Stromdichte [A/mm²]</t>
  </si>
  <si>
    <t>max. Strom</t>
  </si>
  <si>
    <t>AC</t>
  </si>
  <si>
    <t>DC</t>
  </si>
  <si>
    <t>parallel</t>
  </si>
  <si>
    <t>Kontrolle Luftspalt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</si>
</sst>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3"/>
      </patternFill>
    </fill>
    <fill>
      <patternFill patternType="solid">
        <fgColor indexed="43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</fills>
  <borders count="4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2" borderId="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4" borderId="4" xfId="0" applyFill="1" applyBorder="1"/>
    <xf numFmtId="0" fontId="1" fillId="5" borderId="5" xfId="0" applyFont="1" applyFill="1" applyBorder="1"/>
    <xf numFmtId="0" fontId="0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ont="1" applyFill="1" applyBorder="1"/>
    <xf numFmtId="0" fontId="1" fillId="3" borderId="11" xfId="0" applyFont="1" applyFill="1" applyBorder="1"/>
    <xf numFmtId="0" fontId="0" fillId="4" borderId="0" xfId="0" applyFont="1" applyFill="1" applyAlignment="1">
      <alignment horizontal="right"/>
    </xf>
    <xf numFmtId="0" fontId="1" fillId="3" borderId="13" xfId="0" applyFont="1" applyFill="1" applyBorder="1"/>
    <xf numFmtId="0" fontId="0" fillId="4" borderId="14" xfId="0" applyFont="1" applyFill="1" applyBorder="1"/>
    <xf numFmtId="0" fontId="1" fillId="3" borderId="15" xfId="0" applyFont="1" applyFill="1" applyBorder="1"/>
    <xf numFmtId="2" fontId="0" fillId="5" borderId="12" xfId="0" applyNumberForma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3" fillId="2" borderId="7" xfId="0" applyFont="1" applyFill="1" applyBorder="1"/>
    <xf numFmtId="0" fontId="4" fillId="6" borderId="0" xfId="0" applyFont="1" applyFill="1"/>
    <xf numFmtId="0" fontId="4" fillId="6" borderId="9" xfId="0" applyFont="1" applyFill="1" applyBorder="1"/>
    <xf numFmtId="0" fontId="0" fillId="0" borderId="0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0" fillId="6" borderId="10" xfId="0" applyFont="1" applyFill="1" applyBorder="1"/>
    <xf numFmtId="0" fontId="0" fillId="6" borderId="19" xfId="0" applyFont="1" applyFill="1" applyBorder="1"/>
    <xf numFmtId="0" fontId="1" fillId="3" borderId="12" xfId="0" applyFont="1" applyFill="1" applyBorder="1"/>
    <xf numFmtId="0" fontId="0" fillId="6" borderId="0" xfId="0" applyFont="1" applyFill="1" applyAlignment="1">
      <alignment horizontal="right"/>
    </xf>
    <xf numFmtId="0" fontId="1" fillId="6" borderId="7" xfId="0" applyFont="1" applyFill="1" applyBorder="1"/>
    <xf numFmtId="0" fontId="0" fillId="6" borderId="0" xfId="0" applyFill="1" applyBorder="1"/>
    <xf numFmtId="2" fontId="0" fillId="5" borderId="15" xfId="0" applyNumberFormat="1" applyFill="1" applyBorder="1"/>
    <xf numFmtId="0" fontId="0" fillId="6" borderId="20" xfId="0" applyFont="1" applyFill="1" applyBorder="1"/>
    <xf numFmtId="0" fontId="1" fillId="7" borderId="12" xfId="0" applyFont="1" applyFill="1" applyBorder="1"/>
    <xf numFmtId="2" fontId="0" fillId="6" borderId="0" xfId="0" applyNumberFormat="1" applyFill="1"/>
    <xf numFmtId="0" fontId="0" fillId="6" borderId="21" xfId="0" applyFont="1" applyFill="1" applyBorder="1"/>
    <xf numFmtId="2" fontId="0" fillId="5" borderId="11" xfId="0" applyNumberFormat="1" applyFill="1" applyBorder="1"/>
    <xf numFmtId="0" fontId="0" fillId="6" borderId="22" xfId="0" applyFont="1" applyFill="1" applyBorder="1"/>
    <xf numFmtId="0" fontId="0" fillId="0" borderId="0" xfId="0" applyBorder="1"/>
    <xf numFmtId="0" fontId="0" fillId="6" borderId="0" xfId="0" applyFont="1" applyFill="1" applyBorder="1" applyAlignment="1">
      <alignment horizontal="right"/>
    </xf>
    <xf numFmtId="0" fontId="0" fillId="6" borderId="17" xfId="0" applyFill="1" applyBorder="1"/>
    <xf numFmtId="0" fontId="0" fillId="6" borderId="17" xfId="0" applyFont="1" applyFill="1" applyBorder="1" applyAlignment="1">
      <alignment horizontal="right"/>
    </xf>
    <xf numFmtId="0" fontId="0" fillId="6" borderId="18" xfId="0" applyFill="1" applyBorder="1"/>
    <xf numFmtId="0" fontId="0" fillId="8" borderId="23" xfId="0" applyFont="1" applyFill="1" applyBorder="1"/>
    <xf numFmtId="0" fontId="0" fillId="8" borderId="24" xfId="0" applyFill="1" applyBorder="1"/>
    <xf numFmtId="0" fontId="0" fillId="4" borderId="0" xfId="0" applyFill="1" applyBorder="1"/>
    <xf numFmtId="0" fontId="0" fillId="8" borderId="25" xfId="0" applyFont="1" applyFill="1" applyBorder="1"/>
    <xf numFmtId="0" fontId="0" fillId="8" borderId="26" xfId="0" applyFill="1" applyBorder="1"/>
    <xf numFmtId="0" fontId="0" fillId="4" borderId="0" xfId="0" applyFont="1" applyFill="1"/>
    <xf numFmtId="0" fontId="1" fillId="4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right"/>
    </xf>
    <xf numFmtId="0" fontId="0" fillId="5" borderId="12" xfId="0" applyFill="1" applyBorder="1"/>
    <xf numFmtId="0" fontId="0" fillId="4" borderId="27" xfId="0" applyFill="1" applyBorder="1"/>
    <xf numFmtId="0" fontId="0" fillId="8" borderId="28" xfId="0" applyFont="1" applyFill="1" applyBorder="1"/>
    <xf numFmtId="0" fontId="0" fillId="8" borderId="29" xfId="0" applyFill="1" applyBorder="1"/>
    <xf numFmtId="0" fontId="0" fillId="6" borderId="30" xfId="0" applyFill="1" applyBorder="1"/>
    <xf numFmtId="0" fontId="0" fillId="0" borderId="0" xfId="0" applyNumberFormat="1"/>
    <xf numFmtId="0" fontId="0" fillId="6" borderId="14" xfId="0" applyFont="1" applyFill="1" applyBorder="1"/>
    <xf numFmtId="1" fontId="0" fillId="6" borderId="0" xfId="0" applyNumberFormat="1" applyFill="1"/>
    <xf numFmtId="0" fontId="0" fillId="9" borderId="7" xfId="0" applyFont="1" applyFill="1" applyBorder="1"/>
    <xf numFmtId="1" fontId="0" fillId="5" borderId="12" xfId="0" applyNumberFormat="1" applyFill="1" applyBorder="1"/>
    <xf numFmtId="0" fontId="0" fillId="0" borderId="0" xfId="0" applyNumberFormat="1" applyFont="1"/>
    <xf numFmtId="0" fontId="0" fillId="6" borderId="31" xfId="0" applyFill="1" applyBorder="1"/>
    <xf numFmtId="0" fontId="0" fillId="6" borderId="16" xfId="0" applyFill="1" applyBorder="1"/>
    <xf numFmtId="0" fontId="1" fillId="4" borderId="7" xfId="0" applyFont="1" applyFill="1" applyBorder="1"/>
    <xf numFmtId="2" fontId="1" fillId="7" borderId="12" xfId="0" applyNumberFormat="1" applyFont="1" applyFill="1" applyBorder="1"/>
    <xf numFmtId="0" fontId="5" fillId="4" borderId="9" xfId="0" applyFont="1" applyFill="1" applyBorder="1"/>
    <xf numFmtId="0" fontId="1" fillId="4" borderId="21" xfId="0" applyFont="1" applyFill="1" applyBorder="1"/>
    <xf numFmtId="2" fontId="0" fillId="5" borderId="13" xfId="0" applyNumberFormat="1" applyFill="1" applyBorder="1"/>
    <xf numFmtId="2" fontId="0" fillId="6" borderId="0" xfId="0" applyNumberFormat="1" applyFill="1" applyBorder="1"/>
    <xf numFmtId="0" fontId="0" fillId="4" borderId="32" xfId="0" applyFont="1" applyFill="1" applyBorder="1"/>
    <xf numFmtId="0" fontId="1" fillId="3" borderId="33" xfId="0" applyFont="1" applyFill="1" applyBorder="1"/>
    <xf numFmtId="0" fontId="0" fillId="4" borderId="21" xfId="0" applyFont="1" applyFill="1" applyBorder="1"/>
    <xf numFmtId="0" fontId="0" fillId="9" borderId="8" xfId="0" applyFont="1" applyFill="1" applyBorder="1"/>
    <xf numFmtId="0" fontId="0" fillId="6" borderId="7" xfId="0" applyFont="1" applyFill="1" applyBorder="1"/>
    <xf numFmtId="2" fontId="1" fillId="3" borderId="11" xfId="0" applyNumberFormat="1" applyFont="1" applyFill="1" applyBorder="1" applyAlignment="1">
      <alignment horizontal="left"/>
    </xf>
    <xf numFmtId="0" fontId="0" fillId="6" borderId="0" xfId="0" applyFont="1" applyFill="1" applyBorder="1"/>
    <xf numFmtId="165" fontId="0" fillId="5" borderId="11" xfId="0" applyNumberFormat="1" applyFont="1" applyFill="1" applyBorder="1" applyAlignment="1">
      <alignment horizontal="right"/>
    </xf>
    <xf numFmtId="2" fontId="1" fillId="3" borderId="13" xfId="0" applyNumberFormat="1" applyFont="1" applyFill="1" applyBorder="1" applyAlignment="1">
      <alignment horizontal="left"/>
    </xf>
    <xf numFmtId="165" fontId="0" fillId="5" borderId="13" xfId="0" applyNumberFormat="1" applyFont="1" applyFill="1" applyBorder="1" applyAlignment="1">
      <alignment horizontal="right"/>
    </xf>
    <xf numFmtId="2" fontId="1" fillId="3" borderId="34" xfId="0" applyNumberFormat="1" applyFont="1" applyFill="1" applyBorder="1" applyAlignment="1">
      <alignment horizontal="left"/>
    </xf>
    <xf numFmtId="0" fontId="1" fillId="6" borderId="0" xfId="0" applyFont="1" applyFill="1" applyBorder="1"/>
    <xf numFmtId="165" fontId="1" fillId="5" borderId="13" xfId="0" applyNumberFormat="1" applyFont="1" applyFill="1" applyBorder="1" applyAlignment="1">
      <alignment horizontal="right"/>
    </xf>
    <xf numFmtId="2" fontId="1" fillId="3" borderId="15" xfId="0" applyNumberFormat="1" applyFont="1" applyFill="1" applyBorder="1" applyAlignment="1">
      <alignment horizontal="left"/>
    </xf>
    <xf numFmtId="165" fontId="6" fillId="5" borderId="13" xfId="0" applyNumberFormat="1" applyFont="1" applyFill="1" applyBorder="1" applyAlignment="1">
      <alignment horizontal="right"/>
    </xf>
    <xf numFmtId="0" fontId="0" fillId="0" borderId="35" xfId="0" applyBorder="1"/>
    <xf numFmtId="0" fontId="0" fillId="0" borderId="36" xfId="0" applyBorder="1"/>
    <xf numFmtId="2" fontId="0" fillId="6" borderId="9" xfId="0" applyNumberFormat="1" applyFill="1" applyBorder="1"/>
    <xf numFmtId="0" fontId="0" fillId="0" borderId="37" xfId="0" applyBorder="1"/>
    <xf numFmtId="165" fontId="0" fillId="5" borderId="15" xfId="0" applyNumberFormat="1" applyFont="1" applyFill="1" applyBorder="1" applyAlignment="1">
      <alignment horizontal="right"/>
    </xf>
    <xf numFmtId="2" fontId="0" fillId="6" borderId="0" xfId="0" applyNumberFormat="1" applyFont="1" applyFill="1" applyBorder="1" applyAlignment="1">
      <alignment horizontal="left"/>
    </xf>
    <xf numFmtId="0" fontId="0" fillId="6" borderId="8" xfId="0" applyFont="1" applyFill="1" applyBorder="1"/>
    <xf numFmtId="0" fontId="0" fillId="6" borderId="17" xfId="0" applyFont="1" applyFill="1" applyBorder="1"/>
    <xf numFmtId="165" fontId="0" fillId="6" borderId="17" xfId="0" applyNumberFormat="1" applyFont="1" applyFill="1" applyBorder="1" applyAlignment="1">
      <alignment horizontal="right"/>
    </xf>
    <xf numFmtId="0" fontId="7" fillId="6" borderId="7" xfId="0" applyFont="1" applyFill="1" applyBorder="1"/>
    <xf numFmtId="164" fontId="0" fillId="5" borderId="11" xfId="0" applyNumberFormat="1" applyFill="1" applyBorder="1"/>
    <xf numFmtId="165" fontId="1" fillId="5" borderId="15" xfId="0" applyNumberFormat="1" applyFont="1" applyFill="1" applyBorder="1" applyAlignment="1">
      <alignment horizontal="right"/>
    </xf>
    <xf numFmtId="0" fontId="0" fillId="6" borderId="14" xfId="0" applyNumberFormat="1" applyFont="1" applyFill="1" applyBorder="1"/>
    <xf numFmtId="165" fontId="1" fillId="3" borderId="12" xfId="0" applyNumberFormat="1" applyFont="1" applyFill="1" applyBorder="1" applyAlignment="1">
      <alignment horizontal="left"/>
    </xf>
    <xf numFmtId="0" fontId="3" fillId="2" borderId="38" xfId="0" applyFont="1" applyFill="1" applyBorder="1"/>
    <xf numFmtId="0" fontId="1" fillId="4" borderId="39" xfId="0" applyFont="1" applyFill="1" applyBorder="1"/>
    <xf numFmtId="0" fontId="0" fillId="6" borderId="40" xfId="0" applyFill="1" applyBorder="1"/>
    <xf numFmtId="0" fontId="0" fillId="6" borderId="0" xfId="0" applyNumberFormat="1" applyFont="1" applyFill="1" applyBorder="1"/>
    <xf numFmtId="165" fontId="0" fillId="0" borderId="0" xfId="0" applyNumberFormat="1" applyAlignment="1">
      <alignment horizontal="center"/>
    </xf>
    <xf numFmtId="0" fontId="9" fillId="0" borderId="0" xfId="0" applyFont="1"/>
    <xf numFmtId="2" fontId="0" fillId="0" borderId="0" xfId="0" applyNumberFormat="1"/>
    <xf numFmtId="0" fontId="8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0" fontId="0" fillId="0" borderId="41" xfId="0" applyBorder="1"/>
    <xf numFmtId="2" fontId="0" fillId="0" borderId="4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4" borderId="0" xfId="0" applyFill="1" applyAlignment="1">
      <alignment horizontal="right" indent="1"/>
    </xf>
    <xf numFmtId="0" fontId="0" fillId="0" borderId="0" xfId="0" applyAlignment="1">
      <alignment wrapText="1"/>
    </xf>
    <xf numFmtId="2" fontId="0" fillId="10" borderId="12" xfId="0" applyNumberFormat="1" applyFill="1" applyBorder="1"/>
    <xf numFmtId="2" fontId="10" fillId="10" borderId="12" xfId="0" applyNumberFormat="1" applyFont="1" applyFill="1" applyBorder="1"/>
    <xf numFmtId="165" fontId="1" fillId="3" borderId="12" xfId="0" applyNumberFormat="1" applyFont="1" applyFill="1" applyBorder="1"/>
    <xf numFmtId="165" fontId="1" fillId="0" borderId="0" xfId="0" applyNumberFormat="1" applyFont="1"/>
    <xf numFmtId="4" fontId="0" fillId="5" borderId="15" xfId="0" applyNumberFormat="1" applyFill="1" applyBorder="1"/>
    <xf numFmtId="2" fontId="0" fillId="8" borderId="26" xfId="0" applyNumberFormat="1" applyFill="1" applyBorder="1"/>
    <xf numFmtId="0" fontId="11" fillId="0" borderId="0" xfId="0" applyFont="1"/>
    <xf numFmtId="165" fontId="0" fillId="5" borderId="12" xfId="0" applyNumberFormat="1" applyFill="1" applyBorder="1"/>
    <xf numFmtId="2" fontId="1" fillId="5" borderId="12" xfId="0" applyNumberFormat="1" applyFont="1" applyFill="1" applyBorder="1"/>
    <xf numFmtId="2" fontId="1" fillId="5" borderId="11" xfId="0" applyNumberFormat="1" applyFont="1" applyFill="1" applyBorder="1"/>
    <xf numFmtId="2" fontId="1" fillId="5" borderId="13" xfId="0" applyNumberFormat="1" applyFont="1" applyFill="1" applyBorder="1"/>
    <xf numFmtId="4" fontId="1" fillId="5" borderId="15" xfId="0" applyNumberFormat="1" applyFont="1" applyFill="1" applyBorder="1"/>
    <xf numFmtId="1" fontId="1" fillId="5" borderId="12" xfId="0" applyNumberFormat="1" applyFont="1" applyFill="1" applyBorder="1"/>
    <xf numFmtId="2" fontId="0" fillId="7" borderId="12" xfId="0" applyNumberFormat="1" applyFont="1" applyFill="1" applyBorder="1"/>
    <xf numFmtId="165" fontId="0" fillId="5" borderId="12" xfId="0" applyNumberFormat="1" applyFont="1" applyFill="1" applyBorder="1"/>
    <xf numFmtId="2" fontId="1" fillId="3" borderId="13" xfId="0" applyNumberFormat="1" applyFont="1" applyFill="1" applyBorder="1"/>
    <xf numFmtId="165" fontId="0" fillId="0" borderId="0" xfId="0" applyNumberFormat="1"/>
    <xf numFmtId="1" fontId="0" fillId="0" borderId="0" xfId="0" applyNumberFormat="1"/>
    <xf numFmtId="0" fontId="0" fillId="4" borderId="18" xfId="0" applyFill="1" applyBorder="1" applyAlignment="1">
      <alignment horizontal="right"/>
    </xf>
    <xf numFmtId="0" fontId="0" fillId="0" borderId="44" xfId="0" applyBorder="1"/>
    <xf numFmtId="1" fontId="1" fillId="3" borderId="13" xfId="0" applyNumberFormat="1" applyFont="1" applyFill="1" applyBorder="1"/>
    <xf numFmtId="0" fontId="0" fillId="0" borderId="0" xfId="0" applyAlignment="1">
      <alignment horizontal="right"/>
    </xf>
    <xf numFmtId="0" fontId="12" fillId="0" borderId="0" xfId="1"/>
  </cellXfs>
  <cellStyles count="2">
    <cellStyle name="Hyperlink" xfId="1" builtinId="8"/>
    <cellStyle name="Standard" xfId="0" builtinId="0"/>
  </cellStyles>
  <dxfs count="2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AECF00"/>
      <rgbColor rgb="00FF9900"/>
      <rgbColor rgb="00FF95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5594720677352"/>
          <c:y val="7.052498515055057E-2"/>
          <c:w val="0.81572224909270208"/>
          <c:h val="0.79174948719645344"/>
        </c:manualLayout>
      </c:layout>
      <c:scatterChart>
        <c:scatterStyle val="smoothMarker"/>
        <c:varyColors val="0"/>
        <c:ser>
          <c:idx val="0"/>
          <c:order val="0"/>
          <c:tx>
            <c:v>Leistung Rotor</c:v>
          </c:tx>
          <c:marker>
            <c:symbol val="none"/>
          </c:marker>
          <c:xVal>
            <c:numRef>
              <c:f>Stern!$A$7:$A$29</c:f>
              <c:numCache>
                <c:formatCode>0.0</c:formatCode>
                <c:ptCount val="2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</c:numCache>
            </c:numRef>
          </c:xVal>
          <c:yVal>
            <c:numRef>
              <c:f>Stern!$B$7:$B$29</c:f>
              <c:numCache>
                <c:formatCode>0.0</c:formatCode>
                <c:ptCount val="23"/>
                <c:pt idx="0">
                  <c:v>6.0860503681668261</c:v>
                </c:pt>
                <c:pt idx="1">
                  <c:v>20.540419992563038</c:v>
                </c:pt>
                <c:pt idx="2">
                  <c:v>48.688402945334609</c:v>
                </c:pt>
                <c:pt idx="3">
                  <c:v>95.094537002606671</c:v>
                </c:pt>
                <c:pt idx="4">
                  <c:v>164.3233599405043</c:v>
                </c:pt>
                <c:pt idx="5">
                  <c:v>260.93940953515272</c:v>
                </c:pt>
                <c:pt idx="6">
                  <c:v>389.50722356267687</c:v>
                </c:pt>
                <c:pt idx="7">
                  <c:v>554.59133979920216</c:v>
                </c:pt>
                <c:pt idx="8">
                  <c:v>760.75629602085337</c:v>
                </c:pt>
                <c:pt idx="9">
                  <c:v>1012.5666300037556</c:v>
                </c:pt>
                <c:pt idx="10">
                  <c:v>1314.5868795240344</c:v>
                </c:pt>
                <c:pt idx="11">
                  <c:v>1671.3815823578148</c:v>
                </c:pt>
                <c:pt idx="12">
                  <c:v>2087.5152762812218</c:v>
                </c:pt>
                <c:pt idx="13">
                  <c:v>2567.5524990703798</c:v>
                </c:pt>
                <c:pt idx="14">
                  <c:v>3116.057788501415</c:v>
                </c:pt>
                <c:pt idx="15">
                  <c:v>3737.5956823504516</c:v>
                </c:pt>
                <c:pt idx="16">
                  <c:v>4436.7307183936173</c:v>
                </c:pt>
                <c:pt idx="17">
                  <c:v>5218.027434407034</c:v>
                </c:pt>
                <c:pt idx="18">
                  <c:v>6086.050368166827</c:v>
                </c:pt>
                <c:pt idx="19">
                  <c:v>7045.3640574491219</c:v>
                </c:pt>
                <c:pt idx="20">
                  <c:v>8100.5330400300445</c:v>
                </c:pt>
                <c:pt idx="21">
                  <c:v>9256.1218536857232</c:v>
                </c:pt>
                <c:pt idx="22">
                  <c:v>10516.695036192275</c:v>
                </c:pt>
              </c:numCache>
            </c:numRef>
          </c:yVal>
          <c:smooth val="1"/>
        </c:ser>
        <c:ser>
          <c:idx val="1"/>
          <c:order val="1"/>
          <c:tx>
            <c:v>Ladeleistung Sternschaltung</c:v>
          </c:tx>
          <c:marker>
            <c:symbol val="none"/>
          </c:marker>
          <c:xVal>
            <c:numRef>
              <c:f>Stern!$A$7:$A$29</c:f>
              <c:numCache>
                <c:formatCode>0.0</c:formatCode>
                <c:ptCount val="2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</c:numCache>
            </c:numRef>
          </c:xVal>
          <c:yVal>
            <c:numRef>
              <c:f>Stern!$J$7:$J$29</c:f>
              <c:numCache>
                <c:formatCode>0.0</c:formatCode>
                <c:ptCount val="23"/>
                <c:pt idx="0">
                  <c:v>3.6417427860658553</c:v>
                </c:pt>
                <c:pt idx="1">
                  <c:v>15.017480122596089</c:v>
                </c:pt>
                <c:pt idx="2">
                  <c:v>38.791603792709196</c:v>
                </c:pt>
                <c:pt idx="3">
                  <c:v>79.399743083340582</c:v>
                </c:pt>
                <c:pt idx="4">
                  <c:v>141.1387310384589</c:v>
                </c:pt>
                <c:pt idx="5">
                  <c:v>228.09167006212425</c:v>
                </c:pt>
                <c:pt idx="6">
                  <c:v>344.04518990846282</c:v>
                </c:pt>
                <c:pt idx="7">
                  <c:v>492.40634648261215</c:v>
                </c:pt>
                <c:pt idx="8">
                  <c:v>676.1275480389894</c:v>
                </c:pt>
                <c:pt idx="9">
                  <c:v>897.64762256110964</c:v>
                </c:pt>
                <c:pt idx="10">
                  <c:v>1158.8554947226855</c:v>
                </c:pt>
                <c:pt idx="11">
                  <c:v>1461.0801391270036</c:v>
                </c:pt>
                <c:pt idx="12">
                  <c:v>1805.1070810765107</c:v>
                </c:pt>
                <c:pt idx="13">
                  <c:v>2191.2184603153323</c:v>
                </c:pt>
                <c:pt idx="14">
                  <c:v>2619.2512163311658</c:v>
                </c:pt>
                <c:pt idx="15">
                  <c:v>3088.6666797757152</c:v>
                </c:pt>
                <c:pt idx="16">
                  <c:v>3598.6247970073578</c:v>
                </c:pt>
                <c:pt idx="17">
                  <c:v>4148.0571185224881</c:v>
                </c:pt>
                <c:pt idx="18">
                  <c:v>4735.7341453790123</c:v>
                </c:pt>
                <c:pt idx="19">
                  <c:v>5360.3242492587524</c:v>
                </c:pt>
                <c:pt idx="20">
                  <c:v>6020.4428587185866</c:v>
                </c:pt>
                <c:pt idx="21">
                  <c:v>6714.6917666409972</c:v>
                </c:pt>
                <c:pt idx="22">
                  <c:v>7441.6892107948588</c:v>
                </c:pt>
              </c:numCache>
            </c:numRef>
          </c:yVal>
          <c:smooth val="1"/>
        </c:ser>
        <c:ser>
          <c:idx val="2"/>
          <c:order val="2"/>
          <c:tx>
            <c:v>Ladeleistung Dreieckschaltung</c:v>
          </c:tx>
          <c:marker>
            <c:symbol val="none"/>
          </c:marker>
          <c:xVal>
            <c:numRef>
              <c:f>Dreieck!$A$7:$A$29</c:f>
              <c:numCache>
                <c:formatCode>0.0</c:formatCode>
                <c:ptCount val="2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</c:numCache>
            </c:numRef>
          </c:xVal>
          <c:yVal>
            <c:numRef>
              <c:f>Dreieck!$J$7:$J$29</c:f>
              <c:numCache>
                <c:formatCode>0.0</c:formatCode>
                <c:ptCount val="23"/>
                <c:pt idx="0">
                  <c:v>1.8616837999630613</c:v>
                </c:pt>
                <c:pt idx="1">
                  <c:v>11.018698485263315</c:v>
                </c:pt>
                <c:pt idx="2">
                  <c:v>31.714282639273829</c:v>
                </c:pt>
                <c:pt idx="3">
                  <c:v>68.446660156081535</c:v>
                </c:pt>
                <c:pt idx="4">
                  <c:v>125.64079739317354</c:v>
                </c:pt>
                <c:pt idx="5">
                  <c:v>207.60423707582635</c:v>
                </c:pt>
                <c:pt idx="6">
                  <c:v>318.47513757545659</c:v>
                </c:pt>
                <c:pt idx="7">
                  <c:v>462.16524751048246</c:v>
                </c:pt>
                <c:pt idx="8">
                  <c:v>642.30128104073822</c:v>
                </c:pt>
                <c:pt idx="9">
                  <c:v>862.16866847417668</c:v>
                </c:pt>
                <c:pt idx="10">
                  <c:v>1124.6617999016837</c:v>
                </c:pt>
                <c:pt idx="11">
                  <c:v>1432.2445657383955</c:v>
                </c:pt>
                <c:pt idx="12">
                  <c:v>1786.9242174181832</c:v>
                </c:pt>
                <c:pt idx="13">
                  <c:v>2190.24040868477</c:v>
                </c:pt>
                <c:pt idx="14">
                  <c:v>2643.2698994123575</c:v>
                </c:pt>
                <c:pt idx="15">
                  <c:v>3146.6460206653924</c:v>
                </c:pt>
                <c:pt idx="16">
                  <c:v>3700.5908168498577</c:v>
                </c:pt>
                <c:pt idx="17">
                  <c:v>4304.9569507405376</c:v>
                </c:pt>
                <c:pt idx="18">
                  <c:v>4959.276051338793</c:v>
                </c:pt>
                <c:pt idx="19">
                  <c:v>5662.8101900247993</c:v>
                </c:pt>
                <c:pt idx="20">
                  <c:v>6414.6035084358664</c:v>
                </c:pt>
                <c:pt idx="21">
                  <c:v>7213.5315772873655</c:v>
                </c:pt>
                <c:pt idx="22">
                  <c:v>8058.3467193556498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8256"/>
        <c:axId val="167730176"/>
      </c:scatterChart>
      <c:valAx>
        <c:axId val="16772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600"/>
                </a:pPr>
                <a:r>
                  <a:rPr lang="de-DE" sz="1600"/>
                  <a:t>Windgeschwindigkeit [m/s]</a:t>
                </a:r>
              </a:p>
            </c:rich>
          </c:tx>
          <c:layout>
            <c:manualLayout>
              <c:xMode val="edge"/>
              <c:yMode val="edge"/>
              <c:x val="0.40195605242177496"/>
              <c:y val="0.9296768938365463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67730176"/>
        <c:crosses val="autoZero"/>
        <c:crossBetween val="midCat"/>
        <c:majorUnit val="1"/>
      </c:valAx>
      <c:valAx>
        <c:axId val="1677301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/>
                  <a:t>Leistung [W]</a:t>
                </a:r>
              </a:p>
            </c:rich>
          </c:tx>
          <c:layout>
            <c:manualLayout>
              <c:xMode val="edge"/>
              <c:yMode val="edge"/>
              <c:x val="1.0106880999288279E-2"/>
              <c:y val="0.3379505502988596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7728256"/>
        <c:crosses val="autoZero"/>
        <c:crossBetween val="midCat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646731605900903"/>
          <c:y val="7.7786673724607958E-2"/>
          <c:w val="0.28375134386827883"/>
          <c:h val="0.2026096737907761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2</xdr:row>
      <xdr:rowOff>114300</xdr:rowOff>
    </xdr:from>
    <xdr:to>
      <xdr:col>13</xdr:col>
      <xdr:colOff>1457325</xdr:colOff>
      <xdr:row>26</xdr:row>
      <xdr:rowOff>0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504825"/>
          <a:ext cx="4686300" cy="397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790575</xdr:colOff>
      <xdr:row>26</xdr:row>
      <xdr:rowOff>104775</xdr:rowOff>
    </xdr:from>
    <xdr:to>
      <xdr:col>17</xdr:col>
      <xdr:colOff>419101</xdr:colOff>
      <xdr:row>51</xdr:row>
      <xdr:rowOff>133350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workbookViewId="0">
      <selection activeCell="I11" sqref="I11"/>
    </sheetView>
  </sheetViews>
  <sheetFormatPr baseColWidth="10" defaultColWidth="9.140625" defaultRowHeight="12.75" x14ac:dyDescent="0.2"/>
  <cols>
    <col min="1" max="1" width="4.42578125" customWidth="1"/>
    <col min="2" max="2" width="36.5703125" customWidth="1"/>
    <col min="3" max="3" width="18" customWidth="1"/>
    <col min="5" max="5" width="28.5703125" customWidth="1"/>
    <col min="6" max="6" width="17.7109375" customWidth="1"/>
    <col min="7" max="7" width="15.7109375" customWidth="1"/>
    <col min="10" max="10" width="22.7109375" customWidth="1"/>
    <col min="11" max="11" width="11.140625" bestFit="1" customWidth="1"/>
    <col min="14" max="14" width="28.85546875" customWidth="1"/>
  </cols>
  <sheetData>
    <row r="1" spans="2:33" s="1" customFormat="1" ht="18" x14ac:dyDescent="0.25">
      <c r="B1" s="2" t="s">
        <v>0</v>
      </c>
    </row>
    <row r="2" spans="2:33" x14ac:dyDescent="0.2">
      <c r="G2" s="3"/>
    </row>
    <row r="3" spans="2:33" x14ac:dyDescent="0.2">
      <c r="B3" s="4" t="s">
        <v>1</v>
      </c>
      <c r="C3" s="5" t="s">
        <v>2</v>
      </c>
      <c r="D3" s="6"/>
      <c r="E3" s="7"/>
      <c r="F3" s="8" t="s">
        <v>3</v>
      </c>
      <c r="G3" s="9" t="s">
        <v>4</v>
      </c>
      <c r="W3" s="146"/>
    </row>
    <row r="4" spans="2:33" ht="13.5" thickBot="1" x14ac:dyDescent="0.25">
      <c r="B4" s="10"/>
      <c r="C4" s="11"/>
      <c r="D4" s="12"/>
      <c r="E4" s="12"/>
      <c r="F4" s="12"/>
      <c r="G4" s="13"/>
      <c r="W4" s="146"/>
    </row>
    <row r="5" spans="2:33" ht="13.5" thickBot="1" x14ac:dyDescent="0.25">
      <c r="B5" s="14" t="s">
        <v>5</v>
      </c>
      <c r="C5" s="12" t="s">
        <v>6</v>
      </c>
      <c r="D5" s="15">
        <v>7</v>
      </c>
      <c r="E5" s="16" t="s">
        <v>7</v>
      </c>
      <c r="F5" s="131">
        <f>D5*D6*60/(D7*PI())</f>
        <v>44.563384065730695</v>
      </c>
      <c r="G5" s="13" t="s">
        <v>8</v>
      </c>
    </row>
    <row r="6" spans="2:33" ht="13.5" thickBot="1" x14ac:dyDescent="0.25">
      <c r="B6" s="14" t="s">
        <v>9</v>
      </c>
      <c r="C6" s="12" t="s">
        <v>10</v>
      </c>
      <c r="D6" s="17">
        <v>2</v>
      </c>
      <c r="E6" s="12"/>
      <c r="F6" s="12"/>
      <c r="G6" s="13"/>
      <c r="U6" s="145"/>
      <c r="W6" s="146"/>
    </row>
    <row r="7" spans="2:33" ht="13.5" thickBot="1" x14ac:dyDescent="0.25">
      <c r="B7" s="14" t="s">
        <v>11</v>
      </c>
      <c r="C7" s="18" t="s">
        <v>12</v>
      </c>
      <c r="D7" s="19">
        <v>6</v>
      </c>
      <c r="E7" s="16" t="s">
        <v>13</v>
      </c>
      <c r="F7" s="20">
        <f>F5/60</f>
        <v>0.74272306776217822</v>
      </c>
      <c r="G7" s="13" t="s">
        <v>14</v>
      </c>
      <c r="U7" s="145"/>
      <c r="W7" s="146"/>
    </row>
    <row r="8" spans="2:33" ht="13.5" thickBot="1" x14ac:dyDescent="0.25">
      <c r="B8" s="21"/>
      <c r="C8" s="22"/>
      <c r="D8" s="22"/>
      <c r="E8" s="22"/>
      <c r="F8" s="22"/>
      <c r="G8" s="23"/>
    </row>
    <row r="9" spans="2:33" x14ac:dyDescent="0.2">
      <c r="B9" s="24" t="s">
        <v>15</v>
      </c>
      <c r="C9" s="25"/>
      <c r="D9" s="25"/>
      <c r="E9" s="25"/>
      <c r="F9" s="25"/>
      <c r="G9" s="26"/>
      <c r="J9" s="27"/>
    </row>
    <row r="10" spans="2:33" ht="13.5" thickBot="1" x14ac:dyDescent="0.25">
      <c r="B10" s="28"/>
      <c r="C10" s="29"/>
      <c r="D10" s="30"/>
      <c r="E10" s="30"/>
      <c r="F10" s="30"/>
      <c r="G10" s="31"/>
      <c r="J10" s="27"/>
      <c r="U10" s="145"/>
      <c r="W10" s="146"/>
    </row>
    <row r="11" spans="2:33" ht="13.5" thickBot="1" x14ac:dyDescent="0.25">
      <c r="B11" s="32" t="s">
        <v>16</v>
      </c>
      <c r="C11" s="33" t="s">
        <v>17</v>
      </c>
      <c r="D11" s="34">
        <v>24</v>
      </c>
      <c r="E11" s="35" t="s">
        <v>18</v>
      </c>
      <c r="F11" s="102">
        <f>(D14+(D16*2)+D17+D15+(D16*2))*D11/2/1000</f>
        <v>2.8319999999999999</v>
      </c>
      <c r="G11" s="31" t="s">
        <v>19</v>
      </c>
      <c r="J11" s="27"/>
      <c r="U11" s="145"/>
      <c r="W11" s="146"/>
    </row>
    <row r="12" spans="2:33" ht="13.5" thickBot="1" x14ac:dyDescent="0.25">
      <c r="B12" s="36" t="s">
        <v>20</v>
      </c>
      <c r="C12" s="37"/>
      <c r="D12" s="30"/>
      <c r="E12" s="35" t="s">
        <v>21</v>
      </c>
      <c r="F12" s="38">
        <f>F11/(2*PI())*1000</f>
        <v>450.72679883624761</v>
      </c>
      <c r="G12" s="31" t="s">
        <v>22</v>
      </c>
      <c r="J12" s="27"/>
      <c r="U12" s="145"/>
      <c r="W12" s="146"/>
      <c r="AG12" s="146"/>
    </row>
    <row r="13" spans="2:33" ht="13.5" thickBot="1" x14ac:dyDescent="0.25">
      <c r="B13" s="28" t="s">
        <v>23</v>
      </c>
      <c r="C13" s="39" t="s">
        <v>24</v>
      </c>
      <c r="D13" s="15">
        <v>40</v>
      </c>
      <c r="E13" s="30"/>
      <c r="F13" s="30"/>
      <c r="G13" s="31"/>
      <c r="J13" s="27"/>
      <c r="U13" s="145"/>
    </row>
    <row r="14" spans="2:33" ht="13.5" thickBot="1" x14ac:dyDescent="0.25">
      <c r="B14" s="28" t="s">
        <v>25</v>
      </c>
      <c r="C14" s="28" t="s">
        <v>26</v>
      </c>
      <c r="D14" s="144">
        <v>50</v>
      </c>
      <c r="E14" s="35" t="s">
        <v>27</v>
      </c>
      <c r="F14" s="20">
        <f>(F5/60)*F11</f>
        <v>2.1033917279024887</v>
      </c>
      <c r="G14" s="31" t="s">
        <v>28</v>
      </c>
      <c r="J14" s="27"/>
      <c r="U14" s="145"/>
    </row>
    <row r="15" spans="2:33" ht="13.5" thickBot="1" x14ac:dyDescent="0.25">
      <c r="B15" s="28" t="s">
        <v>29</v>
      </c>
      <c r="C15" s="28" t="s">
        <v>30</v>
      </c>
      <c r="D15" s="17">
        <v>40</v>
      </c>
      <c r="E15" s="30"/>
      <c r="F15" s="30"/>
      <c r="G15" s="31"/>
      <c r="U15" s="145"/>
      <c r="W15" s="146"/>
    </row>
    <row r="16" spans="2:33" ht="13.5" thickBot="1" x14ac:dyDescent="0.25">
      <c r="B16" s="28" t="s">
        <v>31</v>
      </c>
      <c r="C16" s="28" t="s">
        <v>32</v>
      </c>
      <c r="D16" s="40">
        <v>36</v>
      </c>
      <c r="E16" s="30"/>
      <c r="F16" s="30"/>
      <c r="G16" s="31"/>
      <c r="K16" s="3"/>
      <c r="W16" s="146"/>
    </row>
    <row r="17" spans="1:23" ht="13.5" thickBot="1" x14ac:dyDescent="0.25">
      <c r="B17" s="28" t="s">
        <v>33</v>
      </c>
      <c r="C17" s="28" t="s">
        <v>34</v>
      </c>
      <c r="D17" s="17">
        <v>2</v>
      </c>
      <c r="E17" s="30"/>
      <c r="F17" s="41"/>
      <c r="G17" s="31"/>
      <c r="K17" s="3"/>
      <c r="W17" s="146"/>
    </row>
    <row r="18" spans="1:23" ht="13.5" thickBot="1" x14ac:dyDescent="0.25">
      <c r="A18" s="143"/>
      <c r="B18" s="37" t="s">
        <v>35</v>
      </c>
      <c r="C18" s="42" t="s">
        <v>36</v>
      </c>
      <c r="D18" s="19">
        <v>40</v>
      </c>
      <c r="E18" s="35" t="s">
        <v>37</v>
      </c>
      <c r="F18" s="43">
        <f>(D11*(D15+(D16*2)+(D17*2))/PI())/10/1.25+(0.2*D18)+(2*D13/10)+(4*D16/10)</f>
        <v>101.29397785085388</v>
      </c>
      <c r="G18" s="44" t="s">
        <v>38</v>
      </c>
      <c r="H18" s="45"/>
      <c r="I18" s="45"/>
      <c r="K18" s="3"/>
    </row>
    <row r="19" spans="1:23" ht="13.5" thickBot="1" x14ac:dyDescent="0.25">
      <c r="A19" s="143"/>
      <c r="B19" s="37"/>
      <c r="C19" s="37"/>
      <c r="D19" s="37"/>
      <c r="E19" s="46" t="s">
        <v>39</v>
      </c>
      <c r="F19" s="38">
        <f>(D11*(D15+(D16*2)+(D17*2))/PI())/10/1.25-(2*D16/10)+(2*D13/10)+(4*D16/10)+2</f>
        <v>88.093977850853875</v>
      </c>
      <c r="G19" s="44" t="s">
        <v>38</v>
      </c>
      <c r="K19" s="3"/>
      <c r="U19" s="145"/>
    </row>
    <row r="20" spans="1:23" ht="13.5" thickBot="1" x14ac:dyDescent="0.25">
      <c r="A20" s="143"/>
      <c r="B20" s="47"/>
      <c r="C20" s="47"/>
      <c r="D20" s="47"/>
      <c r="E20" s="48" t="s">
        <v>40</v>
      </c>
      <c r="F20" s="47"/>
      <c r="G20" s="49"/>
    </row>
    <row r="21" spans="1:23" x14ac:dyDescent="0.2">
      <c r="B21" s="24" t="s">
        <v>41</v>
      </c>
      <c r="C21" s="12"/>
      <c r="D21" s="12"/>
      <c r="E21" s="12"/>
      <c r="F21" s="12"/>
      <c r="G21" s="13"/>
      <c r="H21" s="50" t="s">
        <v>42</v>
      </c>
      <c r="I21" s="51">
        <v>1.43</v>
      </c>
      <c r="K21" s="3"/>
    </row>
    <row r="22" spans="1:23" ht="13.5" thickBot="1" x14ac:dyDescent="0.25">
      <c r="B22" s="10"/>
      <c r="C22" s="11"/>
      <c r="D22" s="52"/>
      <c r="E22" s="12"/>
      <c r="F22" s="12"/>
      <c r="G22" s="13"/>
      <c r="H22" s="53" t="s">
        <v>43</v>
      </c>
      <c r="I22" s="129">
        <v>1.4</v>
      </c>
      <c r="K22" s="3"/>
    </row>
    <row r="23" spans="1:23" ht="13.5" thickBot="1" x14ac:dyDescent="0.25">
      <c r="B23" s="14" t="s">
        <v>44</v>
      </c>
      <c r="C23" s="11" t="s">
        <v>45</v>
      </c>
      <c r="D23" s="34">
        <v>10</v>
      </c>
      <c r="F23" s="52"/>
      <c r="G23" s="13"/>
      <c r="H23" s="53" t="s">
        <v>46</v>
      </c>
      <c r="I23" s="54">
        <v>1.38</v>
      </c>
      <c r="K23" s="3"/>
    </row>
    <row r="24" spans="1:23" ht="13.5" thickBot="1" x14ac:dyDescent="0.25">
      <c r="B24" s="14" t="s">
        <v>47</v>
      </c>
      <c r="C24" s="55" t="s">
        <v>48</v>
      </c>
      <c r="D24" s="40">
        <v>16</v>
      </c>
      <c r="E24" s="56" t="s">
        <v>49</v>
      </c>
      <c r="F24" s="52"/>
      <c r="G24" s="13"/>
      <c r="H24" s="53" t="s">
        <v>50</v>
      </c>
      <c r="I24" s="54">
        <v>1.3049999999999999</v>
      </c>
      <c r="K24" s="3"/>
    </row>
    <row r="25" spans="1:23" ht="13.5" thickBot="1" x14ac:dyDescent="0.25">
      <c r="B25" s="14" t="s">
        <v>51</v>
      </c>
      <c r="C25" s="10" t="s">
        <v>52</v>
      </c>
      <c r="D25" s="139">
        <v>1.3049999999999999</v>
      </c>
      <c r="E25" s="57" t="s">
        <v>53</v>
      </c>
      <c r="F25" s="58">
        <f>D25-((D25*(D24/(2*D23)))*0.5)</f>
        <v>0.78299999999999992</v>
      </c>
      <c r="G25" s="13" t="s">
        <v>54</v>
      </c>
      <c r="H25" s="53" t="s">
        <v>55</v>
      </c>
      <c r="I25" s="54">
        <v>1.28</v>
      </c>
      <c r="K25" s="3"/>
    </row>
    <row r="26" spans="1:23" ht="13.5" thickBot="1" x14ac:dyDescent="0.25">
      <c r="B26" s="21"/>
      <c r="C26" s="59"/>
      <c r="D26" s="59"/>
      <c r="E26" s="22"/>
      <c r="F26" s="22"/>
      <c r="G26" s="23"/>
      <c r="H26" s="60" t="s">
        <v>56</v>
      </c>
      <c r="I26" s="61">
        <v>1.25</v>
      </c>
      <c r="K26" s="3"/>
    </row>
    <row r="27" spans="1:23" x14ac:dyDescent="0.2">
      <c r="B27" s="24" t="s">
        <v>57</v>
      </c>
      <c r="C27" s="30"/>
      <c r="D27" s="30"/>
      <c r="E27" s="30"/>
      <c r="F27" s="30"/>
      <c r="G27" s="62"/>
      <c r="K27" s="3"/>
    </row>
    <row r="28" spans="1:23" ht="13.5" thickBot="1" x14ac:dyDescent="0.25">
      <c r="B28" s="28"/>
      <c r="C28" s="29"/>
      <c r="D28" s="30"/>
      <c r="E28" s="30"/>
      <c r="F28" s="30"/>
      <c r="G28" s="31"/>
    </row>
    <row r="29" spans="1:23" x14ac:dyDescent="0.2">
      <c r="B29" s="32" t="s">
        <v>58</v>
      </c>
      <c r="C29" s="30" t="s">
        <v>59</v>
      </c>
      <c r="D29" s="15">
        <v>600</v>
      </c>
      <c r="E29" s="30"/>
      <c r="F29" s="30"/>
      <c r="G29" s="31"/>
    </row>
    <row r="30" spans="1:23" x14ac:dyDescent="0.2">
      <c r="B30" s="32" t="s">
        <v>60</v>
      </c>
      <c r="C30" s="30" t="s">
        <v>26</v>
      </c>
      <c r="D30" s="17">
        <v>40</v>
      </c>
      <c r="E30" s="30"/>
      <c r="F30" s="30"/>
      <c r="G30" s="31"/>
    </row>
    <row r="31" spans="1:23" x14ac:dyDescent="0.2">
      <c r="B31" s="32" t="s">
        <v>61</v>
      </c>
      <c r="C31" s="30" t="s">
        <v>62</v>
      </c>
      <c r="D31" s="17">
        <v>40</v>
      </c>
      <c r="E31" s="30"/>
      <c r="F31" s="30"/>
      <c r="G31" s="31"/>
      <c r="K31" s="63"/>
    </row>
    <row r="32" spans="1:23" x14ac:dyDescent="0.2">
      <c r="B32" s="32" t="s">
        <v>63</v>
      </c>
      <c r="C32" s="30" t="s">
        <v>64</v>
      </c>
      <c r="D32" s="17">
        <v>66</v>
      </c>
      <c r="E32" s="30"/>
      <c r="F32" s="30"/>
      <c r="G32" s="31"/>
      <c r="K32" s="63"/>
    </row>
    <row r="33" spans="2:11" ht="13.5" thickBot="1" x14ac:dyDescent="0.25">
      <c r="B33" s="32" t="s">
        <v>65</v>
      </c>
      <c r="C33" s="64" t="s">
        <v>66</v>
      </c>
      <c r="D33" s="19">
        <v>3</v>
      </c>
      <c r="E33" s="30"/>
      <c r="F33" s="30"/>
      <c r="G33" s="31"/>
      <c r="K33" s="63"/>
    </row>
    <row r="34" spans="2:11" ht="13.5" thickBot="1" x14ac:dyDescent="0.25">
      <c r="B34" s="28"/>
      <c r="C34" s="30"/>
      <c r="D34" s="30"/>
      <c r="E34" s="29"/>
      <c r="F34" s="65"/>
      <c r="G34" s="31"/>
      <c r="K34" s="63"/>
    </row>
    <row r="35" spans="2:11" ht="13.5" thickBot="1" x14ac:dyDescent="0.25">
      <c r="B35" s="66" t="s">
        <v>67</v>
      </c>
      <c r="C35" s="30"/>
      <c r="D35" s="31"/>
      <c r="E35" s="30" t="s">
        <v>68</v>
      </c>
      <c r="F35" s="136">
        <f>((((D29+1.4)/(SQRT(D33)*SQRT(2)))/((2*D32*F25*F7*D30/1000*D31/1000)*(D11/D33))))</f>
        <v>249.87063648186023</v>
      </c>
      <c r="G35" s="31" t="s">
        <v>69</v>
      </c>
      <c r="J35" s="68"/>
    </row>
    <row r="36" spans="2:11" ht="13.5" thickBot="1" x14ac:dyDescent="0.25">
      <c r="B36" s="28"/>
      <c r="C36" s="30"/>
      <c r="D36" s="31"/>
      <c r="E36" s="30"/>
      <c r="F36" s="69"/>
      <c r="G36" s="31"/>
    </row>
    <row r="37" spans="2:11" ht="13.5" thickBot="1" x14ac:dyDescent="0.25">
      <c r="B37" s="66" t="s">
        <v>70</v>
      </c>
      <c r="C37" s="30"/>
      <c r="D37" s="31"/>
      <c r="E37" s="64" t="s">
        <v>68</v>
      </c>
      <c r="F37" s="67">
        <f>(((D29+1.4)/1.414)/(2*D32*F25*F7*D30/1000*D31/1000))/(D11/D33)</f>
        <v>432.85400359619581</v>
      </c>
      <c r="G37" s="31" t="s">
        <v>69</v>
      </c>
    </row>
    <row r="38" spans="2:11" ht="13.5" thickBot="1" x14ac:dyDescent="0.25">
      <c r="B38" s="70"/>
      <c r="C38" s="47"/>
      <c r="D38" s="47"/>
      <c r="E38" s="47"/>
      <c r="F38" s="47"/>
      <c r="G38" s="49"/>
    </row>
    <row r="39" spans="2:11" x14ac:dyDescent="0.2">
      <c r="B39" s="24" t="s">
        <v>71</v>
      </c>
      <c r="C39" s="12"/>
      <c r="D39" s="12"/>
      <c r="E39" s="12"/>
      <c r="F39" s="12"/>
      <c r="G39" s="13"/>
    </row>
    <row r="40" spans="2:11" ht="39" thickBot="1" x14ac:dyDescent="0.25">
      <c r="B40" s="10"/>
      <c r="C40" s="11"/>
      <c r="D40" s="12"/>
      <c r="E40" s="122" t="s">
        <v>139</v>
      </c>
      <c r="F40" s="123" t="s">
        <v>140</v>
      </c>
      <c r="G40" s="142" t="s">
        <v>141</v>
      </c>
    </row>
    <row r="41" spans="2:11" ht="13.5" thickBot="1" x14ac:dyDescent="0.25">
      <c r="B41" s="14" t="s">
        <v>72</v>
      </c>
      <c r="C41" s="12" t="s">
        <v>73</v>
      </c>
      <c r="D41" s="15">
        <v>0.5</v>
      </c>
      <c r="E41" s="124">
        <f>D43*PI()/4*D41^2</f>
        <v>0.98174770424681035</v>
      </c>
      <c r="F41" s="126">
        <v>6</v>
      </c>
      <c r="G41" s="124">
        <f>E41*F41</f>
        <v>5.8904862254808616</v>
      </c>
      <c r="H41" t="s">
        <v>142</v>
      </c>
    </row>
    <row r="42" spans="2:11" ht="13.5" thickBot="1" x14ac:dyDescent="0.25">
      <c r="B42" s="14" t="s">
        <v>74</v>
      </c>
      <c r="C42" s="12" t="s">
        <v>75</v>
      </c>
      <c r="D42" s="17">
        <v>1.8</v>
      </c>
      <c r="E42" s="12"/>
      <c r="F42" s="12"/>
      <c r="G42" s="125">
        <f>G41*1.28</f>
        <v>7.5398223686155035</v>
      </c>
      <c r="H42" t="s">
        <v>143</v>
      </c>
    </row>
    <row r="43" spans="2:11" x14ac:dyDescent="0.2">
      <c r="B43" s="14" t="s">
        <v>76</v>
      </c>
      <c r="C43" s="10" t="s">
        <v>77</v>
      </c>
      <c r="D43" s="17">
        <v>5</v>
      </c>
      <c r="E43" s="12" t="s">
        <v>144</v>
      </c>
      <c r="F43" s="12"/>
      <c r="G43" s="13"/>
    </row>
    <row r="44" spans="2:11" x14ac:dyDescent="0.2">
      <c r="B44" s="14" t="s">
        <v>78</v>
      </c>
      <c r="C44" s="52" t="s">
        <v>79</v>
      </c>
      <c r="D44" s="17">
        <v>0.3</v>
      </c>
      <c r="E44" s="12" t="s">
        <v>80</v>
      </c>
      <c r="F44" s="12"/>
      <c r="G44" s="13"/>
    </row>
    <row r="45" spans="2:11" ht="13.5" thickBot="1" x14ac:dyDescent="0.25">
      <c r="B45" s="14" t="s">
        <v>82</v>
      </c>
      <c r="C45" s="18" t="s">
        <v>83</v>
      </c>
      <c r="D45" s="19">
        <v>1.5</v>
      </c>
      <c r="E45" s="12" t="s">
        <v>80</v>
      </c>
      <c r="F45" s="12"/>
      <c r="G45" s="13"/>
    </row>
    <row r="46" spans="2:11" ht="13.5" thickBot="1" x14ac:dyDescent="0.25">
      <c r="B46" s="10"/>
      <c r="C46" s="52"/>
      <c r="D46" s="52"/>
      <c r="E46" s="11"/>
      <c r="F46" s="52"/>
      <c r="G46" s="13"/>
    </row>
    <row r="47" spans="2:11" ht="13.5" thickBot="1" x14ac:dyDescent="0.25">
      <c r="B47" s="66" t="s">
        <v>67</v>
      </c>
      <c r="C47" s="12"/>
      <c r="D47" s="12"/>
      <c r="E47" s="71" t="s">
        <v>85</v>
      </c>
      <c r="F47" s="72">
        <f>(PI()*((D41/2)*(D41/2))*F35*D43*D42)/D16</f>
        <v>12.26549618623778</v>
      </c>
      <c r="G47" s="13" t="s">
        <v>22</v>
      </c>
      <c r="H47" s="127">
        <f>F47+(2*(D45+D44))</f>
        <v>15.865496186237779</v>
      </c>
      <c r="I47" t="s">
        <v>145</v>
      </c>
    </row>
    <row r="48" spans="2:11" ht="13.5" thickBot="1" x14ac:dyDescent="0.25">
      <c r="B48" s="10"/>
      <c r="C48" s="12"/>
      <c r="D48" s="12"/>
      <c r="E48" s="71"/>
      <c r="F48" s="73" t="s">
        <v>87</v>
      </c>
      <c r="G48" s="13"/>
    </row>
    <row r="49" spans="2:9" ht="13.5" thickBot="1" x14ac:dyDescent="0.25">
      <c r="B49" s="66" t="s">
        <v>70</v>
      </c>
      <c r="C49" s="12"/>
      <c r="D49" s="12"/>
      <c r="E49" s="107" t="s">
        <v>85</v>
      </c>
      <c r="F49" s="137">
        <f>(PI()*((D41/2)*(D41/2))*F37*D43*D42)/D16</f>
        <v>21.247671215230291</v>
      </c>
      <c r="G49" s="13" t="s">
        <v>22</v>
      </c>
      <c r="H49" s="127">
        <f>F49+(2*(D45+D44))</f>
        <v>24.847671215230292</v>
      </c>
      <c r="I49" t="s">
        <v>145</v>
      </c>
    </row>
    <row r="50" spans="2:9" ht="13.5" thickBot="1" x14ac:dyDescent="0.25">
      <c r="B50" s="10"/>
      <c r="C50" s="12"/>
      <c r="D50" s="12"/>
      <c r="E50" s="74" t="s">
        <v>91</v>
      </c>
      <c r="F50" s="138">
        <f>D24-D44-D44-D45-D45</f>
        <v>12.399999999999999</v>
      </c>
      <c r="G50" s="13" t="s">
        <v>22</v>
      </c>
    </row>
    <row r="51" spans="2:9" x14ac:dyDescent="0.2">
      <c r="B51" s="10"/>
      <c r="C51" s="12"/>
      <c r="D51" s="12"/>
      <c r="E51" s="12"/>
      <c r="F51" s="12"/>
      <c r="G51" s="13"/>
    </row>
    <row r="52" spans="2:9" ht="13.5" thickBot="1" x14ac:dyDescent="0.25">
      <c r="B52" s="10"/>
      <c r="C52" s="12"/>
      <c r="D52" s="12"/>
      <c r="E52" s="12"/>
      <c r="F52" s="12"/>
      <c r="G52" s="13"/>
    </row>
    <row r="53" spans="2:9" x14ac:dyDescent="0.2">
      <c r="B53" s="106" t="s">
        <v>92</v>
      </c>
      <c r="C53" s="108"/>
      <c r="D53" s="108"/>
      <c r="E53" s="108"/>
      <c r="F53" s="108"/>
      <c r="G53" s="62"/>
    </row>
    <row r="54" spans="2:9" ht="13.5" thickBot="1" x14ac:dyDescent="0.25">
      <c r="B54" s="28"/>
      <c r="C54" s="30"/>
      <c r="D54" s="30"/>
      <c r="E54" s="37"/>
      <c r="F54" s="30"/>
      <c r="G54" s="31"/>
    </row>
    <row r="55" spans="2:9" x14ac:dyDescent="0.2">
      <c r="B55" s="66" t="s">
        <v>67</v>
      </c>
      <c r="C55" s="30"/>
      <c r="D55" s="37"/>
      <c r="E55" s="39" t="s">
        <v>94</v>
      </c>
      <c r="F55" s="133">
        <f>D43*F35*(D13*2+D14+D15+D16*2)/1000</f>
        <v>302.34347014305087</v>
      </c>
      <c r="G55" s="31" t="s">
        <v>19</v>
      </c>
    </row>
    <row r="56" spans="2:9" x14ac:dyDescent="0.2">
      <c r="B56" s="28"/>
      <c r="C56" s="30"/>
      <c r="D56" s="37"/>
      <c r="E56" s="28" t="s">
        <v>95</v>
      </c>
      <c r="F56" s="134">
        <f>F55*D11</f>
        <v>7256.2432834332212</v>
      </c>
      <c r="G56" s="31" t="s">
        <v>19</v>
      </c>
    </row>
    <row r="57" spans="2:9" ht="13.5" thickBot="1" x14ac:dyDescent="0.25">
      <c r="B57" s="28"/>
      <c r="C57" s="30"/>
      <c r="D57" s="37"/>
      <c r="E57" s="42" t="s">
        <v>96</v>
      </c>
      <c r="F57" s="135">
        <f>100*PI()*(D41/2)^2*(F55/100)*8.96*D11</f>
        <v>12765.849931460691</v>
      </c>
      <c r="G57" s="31" t="s">
        <v>97</v>
      </c>
    </row>
    <row r="58" spans="2:9" ht="13.5" thickBot="1" x14ac:dyDescent="0.25">
      <c r="B58" s="28"/>
      <c r="C58" s="30"/>
      <c r="D58" s="37"/>
      <c r="E58" s="37"/>
      <c r="F58" s="76"/>
      <c r="G58" s="31"/>
    </row>
    <row r="59" spans="2:9" x14ac:dyDescent="0.2">
      <c r="B59" s="66" t="s">
        <v>70</v>
      </c>
      <c r="C59" s="30"/>
      <c r="D59" s="37"/>
      <c r="E59" s="39" t="s">
        <v>94</v>
      </c>
      <c r="F59" s="43">
        <f>D43*F37*(D13*2+D14+D15+D16*2)/1000</f>
        <v>523.75334435139689</v>
      </c>
      <c r="G59" s="31" t="s">
        <v>19</v>
      </c>
    </row>
    <row r="60" spans="2:9" x14ac:dyDescent="0.2">
      <c r="B60" s="28"/>
      <c r="C60" s="30"/>
      <c r="D60" s="37"/>
      <c r="E60" s="28" t="s">
        <v>95</v>
      </c>
      <c r="F60" s="75">
        <f>F59*D11</f>
        <v>12570.080264433525</v>
      </c>
      <c r="G60" s="31" t="s">
        <v>19</v>
      </c>
    </row>
    <row r="61" spans="2:9" ht="13.5" thickBot="1" x14ac:dyDescent="0.25">
      <c r="B61" s="28"/>
      <c r="C61" s="30"/>
      <c r="D61" s="37"/>
      <c r="E61" s="42" t="s">
        <v>96</v>
      </c>
      <c r="F61" s="128">
        <f>100*PI()*(D41/2)^2*(F59/100)*8.96*D11</f>
        <v>22114.440215715909</v>
      </c>
      <c r="G61" s="31" t="s">
        <v>97</v>
      </c>
    </row>
    <row r="62" spans="2:9" ht="13.5" thickBot="1" x14ac:dyDescent="0.25">
      <c r="B62" s="70"/>
      <c r="C62" s="47"/>
      <c r="D62" s="47"/>
      <c r="E62" s="47"/>
      <c r="F62" s="47"/>
      <c r="G62" s="49"/>
    </row>
    <row r="63" spans="2:9" x14ac:dyDescent="0.2">
      <c r="B63" s="24" t="s">
        <v>98</v>
      </c>
      <c r="C63" s="12"/>
      <c r="D63" s="12"/>
      <c r="E63" s="12"/>
      <c r="F63" s="12"/>
      <c r="G63" s="13"/>
    </row>
    <row r="64" spans="2:9" ht="13.5" thickBot="1" x14ac:dyDescent="0.25">
      <c r="B64" s="10"/>
      <c r="C64" s="11"/>
      <c r="D64" s="12"/>
      <c r="E64" s="12"/>
      <c r="F64" s="12"/>
      <c r="G64" s="13"/>
    </row>
    <row r="65" spans="1:17" ht="13.5" thickBot="1" x14ac:dyDescent="0.25">
      <c r="B65" s="14" t="s">
        <v>99</v>
      </c>
      <c r="C65" s="77" t="s">
        <v>100</v>
      </c>
      <c r="D65" s="78">
        <v>1.78E-2</v>
      </c>
      <c r="E65" s="12"/>
      <c r="F65" s="12"/>
      <c r="G65" s="13"/>
    </row>
    <row r="66" spans="1:17" ht="13.5" thickBot="1" x14ac:dyDescent="0.25">
      <c r="B66" s="10"/>
      <c r="C66" s="12"/>
      <c r="D66" s="12"/>
      <c r="E66" s="11"/>
      <c r="F66" s="52"/>
      <c r="G66" s="13"/>
    </row>
    <row r="67" spans="1:17" ht="13.5" thickBot="1" x14ac:dyDescent="0.25">
      <c r="B67" s="66" t="s">
        <v>67</v>
      </c>
      <c r="C67" s="12"/>
      <c r="D67" s="13"/>
      <c r="E67" s="12" t="s">
        <v>101</v>
      </c>
      <c r="F67" s="132">
        <f>(((F55/D43)*D65*D11*2/D33)/((PI()*((D41/2)*(D41/2)))*D43))</f>
        <v>17.541659618710668</v>
      </c>
      <c r="G67" s="13" t="s">
        <v>81</v>
      </c>
    </row>
    <row r="68" spans="1:17" ht="13.5" thickBot="1" x14ac:dyDescent="0.25">
      <c r="B68" s="10"/>
      <c r="C68" s="12"/>
      <c r="D68" s="13"/>
      <c r="E68" s="12"/>
      <c r="F68" s="13"/>
      <c r="G68" s="13"/>
      <c r="H68" s="3"/>
      <c r="I68" s="3"/>
    </row>
    <row r="69" spans="1:17" ht="13.5" thickBot="1" x14ac:dyDescent="0.25">
      <c r="B69" s="66" t="s">
        <v>70</v>
      </c>
      <c r="C69" s="12"/>
      <c r="D69" s="13"/>
      <c r="E69" s="79" t="s">
        <v>101</v>
      </c>
      <c r="F69" s="20">
        <f>((((F59/D43)*D65*D11*2/D33)/((PI()*((D41/2)*(D41/2)))*D43)))/3</f>
        <v>10.129211529331839</v>
      </c>
      <c r="G69" s="13" t="s">
        <v>81</v>
      </c>
      <c r="H69" s="3"/>
      <c r="I69" s="3"/>
    </row>
    <row r="70" spans="1:17" x14ac:dyDescent="0.2">
      <c r="B70" s="10"/>
      <c r="C70" s="12"/>
      <c r="D70" s="12"/>
      <c r="E70" s="12"/>
      <c r="F70" s="12"/>
      <c r="G70" s="13"/>
    </row>
    <row r="71" spans="1:17" ht="13.5" thickBot="1" x14ac:dyDescent="0.25">
      <c r="B71" s="21"/>
      <c r="C71" s="22"/>
      <c r="D71" s="22"/>
      <c r="E71" s="22"/>
      <c r="F71" s="22"/>
      <c r="G71" s="23"/>
    </row>
    <row r="72" spans="1:17" x14ac:dyDescent="0.2">
      <c r="B72" s="24" t="s">
        <v>102</v>
      </c>
      <c r="C72" s="30"/>
      <c r="D72" s="30"/>
      <c r="E72" s="30"/>
      <c r="F72" s="30"/>
      <c r="G72" s="31"/>
    </row>
    <row r="73" spans="1:17" ht="15" x14ac:dyDescent="0.25">
      <c r="B73" s="101" t="s">
        <v>103</v>
      </c>
      <c r="C73" s="30"/>
      <c r="D73" s="30"/>
      <c r="E73" s="30"/>
      <c r="F73" s="30"/>
      <c r="G73" s="31"/>
    </row>
    <row r="74" spans="1:17" ht="13.5" thickBot="1" x14ac:dyDescent="0.25">
      <c r="B74" s="28"/>
      <c r="C74" s="30"/>
      <c r="D74" s="30"/>
      <c r="E74" s="80" t="s">
        <v>67</v>
      </c>
      <c r="F74" s="30"/>
      <c r="G74" s="31"/>
    </row>
    <row r="75" spans="1:17" x14ac:dyDescent="0.2">
      <c r="B75" s="81" t="s">
        <v>104</v>
      </c>
      <c r="C75" s="37" t="s">
        <v>105</v>
      </c>
      <c r="D75" s="82">
        <v>1.23</v>
      </c>
      <c r="E75" s="83" t="s">
        <v>90</v>
      </c>
      <c r="F75" s="84">
        <f>0.5*D75*D76*0.01*D78^3*D7^2*0.25*PI()</f>
        <v>6086.050368166827</v>
      </c>
      <c r="G75" s="31" t="s">
        <v>106</v>
      </c>
    </row>
    <row r="76" spans="1:17" x14ac:dyDescent="0.2">
      <c r="B76" s="81" t="s">
        <v>107</v>
      </c>
      <c r="C76" s="37" t="s">
        <v>93</v>
      </c>
      <c r="D76" s="85">
        <v>35</v>
      </c>
      <c r="E76" s="83" t="s">
        <v>119</v>
      </c>
      <c r="F76" s="86">
        <f>(D41^4*D32^2*F25^2*D80^2*D13*0.001*D11*2*F35*D43*PI())/(144*10^8*D65)</f>
        <v>243.63606782665292</v>
      </c>
      <c r="G76" s="31" t="s">
        <v>106</v>
      </c>
    </row>
    <row r="77" spans="1:17" x14ac:dyDescent="0.2">
      <c r="B77" s="81" t="s">
        <v>109</v>
      </c>
      <c r="C77" s="37" t="s">
        <v>86</v>
      </c>
      <c r="D77" s="87">
        <v>1.2</v>
      </c>
      <c r="E77" s="83" t="s">
        <v>121</v>
      </c>
      <c r="F77" s="86">
        <f>F75-F76</f>
        <v>5842.4143003401741</v>
      </c>
      <c r="G77" s="31" t="s">
        <v>106</v>
      </c>
    </row>
    <row r="78" spans="1:17" ht="13.5" thickBot="1" x14ac:dyDescent="0.25">
      <c r="B78" s="81" t="s">
        <v>111</v>
      </c>
      <c r="C78" s="37" t="s">
        <v>28</v>
      </c>
      <c r="D78" s="90">
        <v>10</v>
      </c>
      <c r="E78" s="83" t="s">
        <v>108</v>
      </c>
      <c r="F78" s="86">
        <f>SQRT((D29*D29+2*F77*F67)/(2*F67*F67)-SQRT((D29^2+2*F77*F67)^2/(4*F67^4)-(F77^2/F67^2)))</f>
        <v>7.9087076576135757</v>
      </c>
      <c r="G78" s="31" t="s">
        <v>89</v>
      </c>
    </row>
    <row r="79" spans="1:17" ht="13.5" thickBot="1" x14ac:dyDescent="0.25">
      <c r="A79" s="92"/>
      <c r="B79" s="28"/>
      <c r="C79" s="30"/>
      <c r="D79" s="31"/>
      <c r="E79" s="88" t="s">
        <v>110</v>
      </c>
      <c r="F79" s="89">
        <f>F77-F78^2*F67</f>
        <v>4745.2245945681507</v>
      </c>
      <c r="G79" s="31" t="s">
        <v>106</v>
      </c>
    </row>
    <row r="80" spans="1:17" ht="13.5" thickBot="1" x14ac:dyDescent="0.25">
      <c r="A80" s="93"/>
      <c r="B80" s="81" t="s">
        <v>122</v>
      </c>
      <c r="C80" s="37" t="s">
        <v>84</v>
      </c>
      <c r="D80" s="105">
        <f>D78*60*D5/(D7*PI())</f>
        <v>222.81692032865348</v>
      </c>
      <c r="E80" s="88" t="s">
        <v>112</v>
      </c>
      <c r="F80" s="89">
        <f>F79*100/F75</f>
        <v>77.968868272732607</v>
      </c>
      <c r="G80" s="31" t="s">
        <v>93</v>
      </c>
      <c r="Q80" s="130"/>
    </row>
    <row r="81" spans="1:9" x14ac:dyDescent="0.2">
      <c r="A81" s="95"/>
      <c r="B81" s="28"/>
      <c r="C81" s="30"/>
      <c r="D81" s="31"/>
      <c r="E81" s="88" t="s">
        <v>113</v>
      </c>
      <c r="F81" s="91">
        <f>F78^2*F67</f>
        <v>1097.1897057720232</v>
      </c>
      <c r="G81" s="31" t="s">
        <v>106</v>
      </c>
    </row>
    <row r="82" spans="1:9" x14ac:dyDescent="0.2">
      <c r="A82" s="95"/>
      <c r="B82" s="28"/>
      <c r="C82" s="37"/>
      <c r="D82" s="94"/>
      <c r="E82" s="83" t="s">
        <v>114</v>
      </c>
      <c r="F82" s="86">
        <f>D77*F78</f>
        <v>9.4904491891362905</v>
      </c>
      <c r="G82" s="31" t="s">
        <v>106</v>
      </c>
    </row>
    <row r="83" spans="1:9" x14ac:dyDescent="0.2">
      <c r="B83" s="28"/>
      <c r="C83" s="37"/>
      <c r="D83" s="94"/>
      <c r="E83" s="83" t="s">
        <v>115</v>
      </c>
      <c r="F83" s="89">
        <f>F79-F82</f>
        <v>4735.7341453790141</v>
      </c>
      <c r="G83" s="31" t="s">
        <v>106</v>
      </c>
      <c r="H83" s="141"/>
      <c r="I83" s="141"/>
    </row>
    <row r="84" spans="1:9" x14ac:dyDescent="0.2">
      <c r="B84" s="81"/>
      <c r="C84" s="37"/>
      <c r="D84" s="94"/>
      <c r="E84" s="83" t="s">
        <v>116</v>
      </c>
      <c r="F84" s="86">
        <f>F83/D29</f>
        <v>7.8928902422983569</v>
      </c>
      <c r="G84" s="31" t="s">
        <v>89</v>
      </c>
    </row>
    <row r="85" spans="1:9" x14ac:dyDescent="0.2">
      <c r="B85" s="81"/>
      <c r="C85" s="37"/>
      <c r="D85" s="94"/>
      <c r="E85" s="88" t="s">
        <v>117</v>
      </c>
      <c r="F85" s="89">
        <f>F83/F75*100</f>
        <v>77.812930536187125</v>
      </c>
      <c r="G85" s="31" t="s">
        <v>93</v>
      </c>
      <c r="H85" s="3"/>
      <c r="I85" s="3"/>
    </row>
    <row r="86" spans="1:9" ht="13.5" thickBot="1" x14ac:dyDescent="0.25">
      <c r="B86" s="81"/>
      <c r="C86" s="37"/>
      <c r="D86" s="37"/>
      <c r="E86" s="104" t="s">
        <v>118</v>
      </c>
      <c r="F86" s="103">
        <f>F83/F75*D76</f>
        <v>27.234525687665496</v>
      </c>
      <c r="G86" s="31" t="s">
        <v>93</v>
      </c>
      <c r="H86" s="3"/>
      <c r="I86" s="3"/>
    </row>
    <row r="87" spans="1:9" x14ac:dyDescent="0.2">
      <c r="B87" s="81"/>
      <c r="C87" s="37"/>
      <c r="D87" s="37"/>
      <c r="E87" s="109"/>
      <c r="F87" s="37"/>
      <c r="G87" s="31"/>
      <c r="H87" s="3"/>
      <c r="I87" s="3"/>
    </row>
    <row r="88" spans="1:9" x14ac:dyDescent="0.2">
      <c r="B88" s="81"/>
      <c r="C88" s="37"/>
      <c r="D88" s="37"/>
      <c r="E88" s="37"/>
      <c r="F88" s="37"/>
      <c r="G88" s="31"/>
    </row>
    <row r="89" spans="1:9" ht="13.5" thickBot="1" x14ac:dyDescent="0.25">
      <c r="B89" s="81"/>
      <c r="C89" s="37"/>
      <c r="D89" s="97"/>
      <c r="E89" s="80" t="s">
        <v>70</v>
      </c>
      <c r="F89" s="46"/>
      <c r="G89" s="31"/>
    </row>
    <row r="90" spans="1:9" x14ac:dyDescent="0.2">
      <c r="B90" s="81"/>
      <c r="C90" s="97"/>
      <c r="D90" s="31"/>
      <c r="E90" s="83" t="s">
        <v>90</v>
      </c>
      <c r="F90" s="84">
        <f>(0.5*D75*(PI()*((D7/2)*(D7/2)))*(D78*D78*D78)*(D76/100))</f>
        <v>6086.050368166827</v>
      </c>
      <c r="G90" s="31" t="s">
        <v>106</v>
      </c>
    </row>
    <row r="91" spans="1:9" x14ac:dyDescent="0.2">
      <c r="B91" s="81"/>
      <c r="C91" s="97"/>
      <c r="D91" s="31"/>
      <c r="E91" s="83" t="s">
        <v>119</v>
      </c>
      <c r="F91" s="86">
        <f>(D41^4*D32^2*F25^2*D80^2*D13*0.001*D11*2*PI()*F37*D43)/(144*10^8*D65)</f>
        <v>422.05378296563862</v>
      </c>
      <c r="G91" s="31" t="s">
        <v>106</v>
      </c>
    </row>
    <row r="92" spans="1:9" x14ac:dyDescent="0.2">
      <c r="B92" s="81"/>
      <c r="C92" s="97"/>
      <c r="D92" s="31"/>
      <c r="E92" s="83" t="s">
        <v>121</v>
      </c>
      <c r="F92" s="86">
        <f>F90-F91</f>
        <v>5663.9965852011883</v>
      </c>
      <c r="G92" s="31" t="s">
        <v>106</v>
      </c>
    </row>
    <row r="93" spans="1:9" x14ac:dyDescent="0.2">
      <c r="B93" s="81"/>
      <c r="C93" s="97"/>
      <c r="D93" s="31"/>
      <c r="E93" s="83" t="s">
        <v>108</v>
      </c>
      <c r="F93" s="86">
        <f>SQRT((D29*D29+2*F92*F69)/(2*F69*F69)-SQRT((D29^2+2*F92*F69)^2/(4*F69^4)-(F92^2/F69^2)))</f>
        <v>8.2820241338323086</v>
      </c>
      <c r="G93" s="31" t="s">
        <v>89</v>
      </c>
    </row>
    <row r="94" spans="1:9" x14ac:dyDescent="0.2">
      <c r="B94" s="28"/>
      <c r="C94" s="37"/>
      <c r="D94" s="31"/>
      <c r="E94" s="88" t="s">
        <v>110</v>
      </c>
      <c r="F94" s="89">
        <f>F92-F93^2*F69</f>
        <v>4969.2144802993935</v>
      </c>
      <c r="G94" s="31" t="s">
        <v>106</v>
      </c>
    </row>
    <row r="95" spans="1:9" x14ac:dyDescent="0.2">
      <c r="B95" s="81"/>
      <c r="C95" s="97"/>
      <c r="D95" s="31"/>
      <c r="E95" s="88" t="s">
        <v>112</v>
      </c>
      <c r="F95" s="89">
        <f>F94*100/F90</f>
        <v>81.649250001132756</v>
      </c>
      <c r="G95" s="31" t="s">
        <v>93</v>
      </c>
    </row>
    <row r="96" spans="1:9" x14ac:dyDescent="0.2">
      <c r="B96" s="81"/>
      <c r="C96" s="97"/>
      <c r="D96" s="31"/>
      <c r="E96" s="88" t="s">
        <v>113</v>
      </c>
      <c r="F96" s="91">
        <f>F93^2*F69</f>
        <v>694.78210490179515</v>
      </c>
      <c r="G96" s="31" t="s">
        <v>106</v>
      </c>
    </row>
    <row r="97" spans="2:9" x14ac:dyDescent="0.2">
      <c r="B97" s="36"/>
      <c r="C97" s="76"/>
      <c r="D97" s="31"/>
      <c r="E97" s="83" t="s">
        <v>114</v>
      </c>
      <c r="F97" s="86">
        <f>D77*F93</f>
        <v>9.9384289605987703</v>
      </c>
      <c r="G97" s="31" t="s">
        <v>106</v>
      </c>
      <c r="H97" s="140"/>
      <c r="I97" s="140"/>
    </row>
    <row r="98" spans="2:9" x14ac:dyDescent="0.2">
      <c r="B98" s="36"/>
      <c r="C98" s="76"/>
      <c r="D98" s="31"/>
      <c r="E98" s="83" t="s">
        <v>115</v>
      </c>
      <c r="F98" s="86">
        <f>F94-F97</f>
        <v>4959.2760513387948</v>
      </c>
      <c r="G98" s="31" t="s">
        <v>106</v>
      </c>
    </row>
    <row r="99" spans="2:9" x14ac:dyDescent="0.2">
      <c r="B99" s="36"/>
      <c r="C99" s="76"/>
      <c r="D99" s="31"/>
      <c r="E99" s="83" t="s">
        <v>116</v>
      </c>
      <c r="F99" s="86">
        <f>F98/D29</f>
        <v>8.2654600855646585</v>
      </c>
      <c r="G99" s="31" t="s">
        <v>89</v>
      </c>
    </row>
    <row r="100" spans="2:9" x14ac:dyDescent="0.2">
      <c r="B100" s="36"/>
      <c r="C100" s="76"/>
      <c r="D100" s="31"/>
      <c r="E100" s="88" t="s">
        <v>117</v>
      </c>
      <c r="F100" s="89">
        <f>F98*100/F90</f>
        <v>81.485951501130501</v>
      </c>
      <c r="G100" s="31" t="s">
        <v>93</v>
      </c>
    </row>
    <row r="101" spans="2:9" ht="13.5" thickBot="1" x14ac:dyDescent="0.25">
      <c r="B101" s="36"/>
      <c r="C101" s="76"/>
      <c r="D101" s="31"/>
      <c r="E101" s="98" t="s">
        <v>118</v>
      </c>
      <c r="F101" s="96">
        <f>F95*D76/100</f>
        <v>28.577237500396464</v>
      </c>
      <c r="G101" s="31" t="s">
        <v>93</v>
      </c>
    </row>
    <row r="102" spans="2:9" ht="13.5" thickBot="1" x14ac:dyDescent="0.25">
      <c r="B102" s="70"/>
      <c r="C102" s="47"/>
      <c r="D102" s="47"/>
      <c r="E102" s="99"/>
      <c r="F102" s="100"/>
      <c r="G102" s="49"/>
    </row>
    <row r="142" spans="1:1" x14ac:dyDescent="0.2">
      <c r="A142" s="30"/>
    </row>
  </sheetData>
  <sheetProtection selectLockedCells="1" selectUnlockedCells="1"/>
  <conditionalFormatting sqref="F47">
    <cfRule type="cellIs" dxfId="1" priority="1" stopIfTrue="1" operator="greaterThan">
      <formula>$D$24-(2*$D$44)-(2*$D$45)</formula>
    </cfRule>
  </conditionalFormatting>
  <conditionalFormatting sqref="F49">
    <cfRule type="cellIs" dxfId="0" priority="2" stopIfTrue="1" operator="greaterThan">
      <formula>$D$24-(2*$D$44)-(2*$D$45)</formula>
    </cfRule>
  </conditionalFormatting>
  <dataValidations count="1">
    <dataValidation type="list" allowBlank="1" showErrorMessage="1" sqref="D25">
      <formula1>$I$21:$I$26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5.140625" customWidth="1"/>
    <col min="2" max="2" width="11.42578125" customWidth="1"/>
    <col min="3" max="3" width="18.140625" customWidth="1"/>
    <col min="4" max="4" width="10.7109375" customWidth="1"/>
    <col min="5" max="5" width="20.140625" customWidth="1"/>
    <col min="6" max="6" width="10" customWidth="1"/>
    <col min="7" max="7" width="11.42578125" customWidth="1"/>
    <col min="8" max="8" width="18.85546875" customWidth="1"/>
    <col min="9" max="9" width="15.7109375" customWidth="1"/>
    <col min="12" max="12" width="13.140625" customWidth="1"/>
  </cols>
  <sheetData>
    <row r="1" spans="1:23" ht="26.25" x14ac:dyDescent="0.4">
      <c r="A1" s="111" t="s">
        <v>129</v>
      </c>
    </row>
    <row r="3" spans="1:23" ht="15.75" x14ac:dyDescent="0.25">
      <c r="A3" s="118" t="s">
        <v>125</v>
      </c>
      <c r="B3" s="113" t="s">
        <v>120</v>
      </c>
      <c r="C3" s="113" t="s">
        <v>126</v>
      </c>
      <c r="D3" s="113" t="s">
        <v>132</v>
      </c>
      <c r="E3" s="113" t="s">
        <v>130</v>
      </c>
      <c r="F3" s="113" t="s">
        <v>88</v>
      </c>
      <c r="G3" s="113" t="s">
        <v>131</v>
      </c>
      <c r="H3" s="113" t="s">
        <v>133</v>
      </c>
      <c r="I3" s="113" t="s">
        <v>135</v>
      </c>
      <c r="J3" s="113" t="s">
        <v>134</v>
      </c>
      <c r="K3" s="113" t="s">
        <v>136</v>
      </c>
      <c r="L3" s="118" t="s">
        <v>138</v>
      </c>
    </row>
    <row r="4" spans="1:23" x14ac:dyDescent="0.2">
      <c r="A4" s="119" t="s">
        <v>123</v>
      </c>
      <c r="B4" s="114" t="s">
        <v>124</v>
      </c>
      <c r="C4" s="114" t="s">
        <v>124</v>
      </c>
      <c r="D4" s="114" t="s">
        <v>124</v>
      </c>
      <c r="E4" s="114" t="s">
        <v>127</v>
      </c>
      <c r="F4" s="114" t="s">
        <v>128</v>
      </c>
      <c r="G4" s="114" t="s">
        <v>124</v>
      </c>
      <c r="H4" s="114" t="s">
        <v>124</v>
      </c>
      <c r="I4" s="114" t="s">
        <v>124</v>
      </c>
      <c r="J4" s="114" t="s">
        <v>124</v>
      </c>
      <c r="K4" s="114" t="s">
        <v>137</v>
      </c>
      <c r="L4" s="119" t="s">
        <v>137</v>
      </c>
    </row>
    <row r="5" spans="1:23" ht="13.5" thickBot="1" x14ac:dyDescent="0.25">
      <c r="A5" s="12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0"/>
      <c r="U5" s="112"/>
      <c r="V5" s="112"/>
      <c r="W5" s="112"/>
    </row>
    <row r="6" spans="1:23" x14ac:dyDescent="0.2">
      <c r="B6" s="116"/>
      <c r="C6" s="116"/>
      <c r="D6" s="116"/>
      <c r="E6" s="116"/>
      <c r="F6" s="116"/>
      <c r="G6" s="116"/>
      <c r="H6" s="116"/>
      <c r="I6" s="116"/>
      <c r="J6" s="116"/>
      <c r="K6" s="116"/>
      <c r="U6" s="112"/>
      <c r="V6" s="112"/>
      <c r="W6" s="112"/>
    </row>
    <row r="7" spans="1:23" x14ac:dyDescent="0.2">
      <c r="A7" s="110">
        <v>1</v>
      </c>
      <c r="B7" s="115">
        <f>A7^3*Sheet!$D$75/2*Sheet!$D$7^2/4*PI()*Sheet!$D$76/100</f>
        <v>6.0860503681668261</v>
      </c>
      <c r="C7" s="115">
        <f>(Sheet!$D$41^4*Sheet!$D$32^2*Sheet!$F$25^2*(Sheet!$D$5*60*Stern!A7/(PI()*Sheet!$D$7))^2*Sheet!$D$13*0.001*Sheet!$D$11*2*Sheet!$F$35*Sheet!$D$43*PI())/(144*10^8*Sheet!$D$65)</f>
        <v>2.4363606782665284</v>
      </c>
      <c r="D7" s="115">
        <f>B7-C7</f>
        <v>3.6496896899002977</v>
      </c>
      <c r="E7" s="115">
        <f>Sheet!D29</f>
        <v>600</v>
      </c>
      <c r="F7" s="117">
        <f>(-Sheet!$D$29+SQRT(Sheet!$D$29^2+4*Sheet!$F$67*D7))/(2*Sheet!$F$67)</f>
        <v>6.0817347796687229E-3</v>
      </c>
      <c r="G7" s="115">
        <f>F7^2*Sheet!$F$67</f>
        <v>6.4882209883989814E-4</v>
      </c>
      <c r="H7" s="115">
        <f>F7*Sheet!$D$77</f>
        <v>7.2980817356024675E-3</v>
      </c>
      <c r="I7" s="115">
        <f>H7+G7</f>
        <v>7.9469038344423659E-3</v>
      </c>
      <c r="J7" s="115">
        <f>IF(I7&gt;0,D7-I7,0)</f>
        <v>3.6417427860658553</v>
      </c>
      <c r="K7" s="115">
        <f>E7*F7/B7*100</f>
        <v>59.9574542939637</v>
      </c>
      <c r="L7" s="110">
        <f>J7/(B7/Sheet!$D$76)</f>
        <v>20.943138784882805</v>
      </c>
      <c r="N7" s="140"/>
      <c r="U7" s="112"/>
      <c r="V7" s="112"/>
      <c r="W7" s="112"/>
    </row>
    <row r="8" spans="1:23" x14ac:dyDescent="0.2">
      <c r="A8" s="110">
        <v>1.5</v>
      </c>
      <c r="B8" s="115">
        <f>A8^3*Sheet!$D$75/2*Sheet!$D$7^2/4*PI()*Sheet!$D$76/100</f>
        <v>20.540419992563038</v>
      </c>
      <c r="C8" s="115">
        <f>(Sheet!$D$41^4*Sheet!$D$32^2*Sheet!$F$25^2*(Sheet!$D$5*60*Stern!A8/(PI()*Sheet!$D$7))^2*Sheet!$D$13*0.001*Sheet!$D$11*2*Sheet!$F$35*Sheet!$D$43*PI())/(144*10^8*Sheet!$D$65)</f>
        <v>5.4818115260996896</v>
      </c>
      <c r="D8" s="115">
        <f t="shared" ref="D8:D29" si="0">B8-C8</f>
        <v>15.058608466463347</v>
      </c>
      <c r="E8" s="115">
        <f>E7</f>
        <v>600</v>
      </c>
      <c r="F8" s="117">
        <f>(-Sheet!$D$29+SQRT(Sheet!$D$29^2+4*Sheet!$F$67*D8))/(2*Sheet!$F$67)</f>
        <v>2.5079292121904125E-2</v>
      </c>
      <c r="G8" s="115">
        <f>F8^2*Sheet!$F$67</f>
        <v>1.1033193320973017E-2</v>
      </c>
      <c r="H8" s="115">
        <f>F8*Sheet!$D$77</f>
        <v>3.0095150546284949E-2</v>
      </c>
      <c r="I8" s="115">
        <f t="shared" ref="I8:I29" si="1">H8+G8</f>
        <v>4.1128343867257965E-2</v>
      </c>
      <c r="J8" s="115">
        <f t="shared" ref="J8:J28" si="2">IF(I8&gt;0,D8-I8,0)</f>
        <v>15.017480122596089</v>
      </c>
      <c r="K8" s="115">
        <f t="shared" ref="K8:K29" si="3">E8*F8/B8*100</f>
        <v>73.258362188264272</v>
      </c>
      <c r="L8" s="110">
        <f>J8/(B8/Sheet!$D$76)</f>
        <v>25.589145912360536</v>
      </c>
      <c r="N8" s="140"/>
      <c r="U8" s="112"/>
      <c r="V8" s="112"/>
      <c r="W8" s="112"/>
    </row>
    <row r="9" spans="1:23" x14ac:dyDescent="0.2">
      <c r="A9" s="110">
        <v>2</v>
      </c>
      <c r="B9" s="115">
        <f>A9^3*Sheet!$D$75/2*Sheet!$D$7^2/4*PI()*Sheet!$D$76/100</f>
        <v>48.688402945334609</v>
      </c>
      <c r="C9" s="115">
        <f>(Sheet!$D$41^4*Sheet!$D$32^2*Sheet!$F$25^2*(Sheet!$D$5*60*Stern!A9/(PI()*Sheet!$D$7))^2*Sheet!$D$13*0.001*Sheet!$D$11*2*Sheet!$F$35*Sheet!$D$43*PI())/(144*10^8*Sheet!$D$65)</f>
        <v>9.7454427130661134</v>
      </c>
      <c r="D9" s="115">
        <f t="shared" si="0"/>
        <v>38.942960232268497</v>
      </c>
      <c r="E9" s="115">
        <f t="shared" ref="E9:E29" si="4">E8</f>
        <v>600</v>
      </c>
      <c r="F9" s="117">
        <f>(-Sheet!$D$29+SQRT(Sheet!$D$29^2+4*Sheet!$F$67*D9))/(2*Sheet!$F$67)</f>
        <v>6.4782237462773617E-2</v>
      </c>
      <c r="G9" s="115">
        <f>F9^2*Sheet!$F$67</f>
        <v>7.3617754603974142E-2</v>
      </c>
      <c r="H9" s="115">
        <f>F9*Sheet!$D$77</f>
        <v>7.7738684955328333E-2</v>
      </c>
      <c r="I9" s="115">
        <f t="shared" si="1"/>
        <v>0.15135643955930247</v>
      </c>
      <c r="J9" s="115">
        <f t="shared" si="2"/>
        <v>38.791603792709196</v>
      </c>
      <c r="K9" s="115">
        <f t="shared" si="3"/>
        <v>79.832855723990605</v>
      </c>
      <c r="L9" s="110">
        <f>J9/(B9/Sheet!$D$76)</f>
        <v>27.885616504390171</v>
      </c>
      <c r="N9" s="140"/>
      <c r="U9" s="112"/>
      <c r="V9" s="112"/>
      <c r="W9" s="112"/>
    </row>
    <row r="10" spans="1:23" x14ac:dyDescent="0.2">
      <c r="A10" s="110">
        <v>2.5</v>
      </c>
      <c r="B10" s="115">
        <f>A10^3*Sheet!$D$75/2*Sheet!$D$7^2/4*PI()*Sheet!$D$76/100</f>
        <v>95.094537002606671</v>
      </c>
      <c r="C10" s="115">
        <f>(Sheet!$D$41^4*Sheet!$D$32^2*Sheet!$F$25^2*(Sheet!$D$5*60*Stern!A10/(PI()*Sheet!$D$7))^2*Sheet!$D$13*0.001*Sheet!$D$11*2*Sheet!$F$35*Sheet!$D$43*PI())/(144*10^8*Sheet!$D$65)</f>
        <v>15.227254239165807</v>
      </c>
      <c r="D10" s="115">
        <f t="shared" si="0"/>
        <v>79.867282763440869</v>
      </c>
      <c r="E10" s="115">
        <f t="shared" si="4"/>
        <v>600</v>
      </c>
      <c r="F10" s="117">
        <f>(-Sheet!$D$29+SQRT(Sheet!$D$29^2+4*Sheet!$F$67*D10))/(2*Sheet!$F$67)</f>
        <v>0.13259810134158384</v>
      </c>
      <c r="G10" s="115">
        <f>F10^2*Sheet!$F$67</f>
        <v>0.30842195849038112</v>
      </c>
      <c r="H10" s="115">
        <f>F10*Sheet!$D$77</f>
        <v>0.15911772160990059</v>
      </c>
      <c r="I10" s="115">
        <f t="shared" si="1"/>
        <v>0.46753968010028168</v>
      </c>
      <c r="J10" s="115">
        <f t="shared" si="2"/>
        <v>79.399743083340582</v>
      </c>
      <c r="K10" s="115">
        <f t="shared" si="3"/>
        <v>83.662914098597994</v>
      </c>
      <c r="L10" s="110">
        <f>J10/(B10/Sheet!$D$76)</f>
        <v>29.223455894640349</v>
      </c>
      <c r="N10" s="140"/>
      <c r="U10" s="112"/>
      <c r="V10" s="112"/>
      <c r="W10" s="112"/>
    </row>
    <row r="11" spans="1:23" x14ac:dyDescent="0.2">
      <c r="A11" s="110">
        <v>3</v>
      </c>
      <c r="B11" s="115">
        <f>A11^3*Sheet!$D$75/2*Sheet!$D$7^2/4*PI()*Sheet!$D$76/100</f>
        <v>164.3233599405043</v>
      </c>
      <c r="C11" s="115">
        <f>(Sheet!$D$41^4*Sheet!$D$32^2*Sheet!$F$25^2*(Sheet!$D$5*60*Stern!A11/(PI()*Sheet!$D$7))^2*Sheet!$D$13*0.001*Sheet!$D$11*2*Sheet!$F$35*Sheet!$D$43*PI())/(144*10^8*Sheet!$D$65)</f>
        <v>21.927246104398758</v>
      </c>
      <c r="D11" s="115">
        <f t="shared" si="0"/>
        <v>142.39611383610554</v>
      </c>
      <c r="E11" s="115">
        <f t="shared" si="4"/>
        <v>600</v>
      </c>
      <c r="F11" s="117">
        <f>(-Sheet!$D$29+SQRT(Sheet!$D$29^2+4*Sheet!$F$67*D11))/(2*Sheet!$F$67)</f>
        <v>0.23570262364472014</v>
      </c>
      <c r="G11" s="115">
        <f>F11^2*Sheet!$F$67</f>
        <v>0.97453964927297088</v>
      </c>
      <c r="H11" s="115">
        <f>F11*Sheet!$D$77</f>
        <v>0.28284314837366414</v>
      </c>
      <c r="I11" s="115">
        <f t="shared" si="1"/>
        <v>1.257382797646635</v>
      </c>
      <c r="J11" s="115">
        <f t="shared" si="2"/>
        <v>141.1387310384589</v>
      </c>
      <c r="K11" s="115">
        <f t="shared" si="3"/>
        <v>86.062976218375681</v>
      </c>
      <c r="L11" s="110">
        <f>J11/(B11/Sheet!$D$76)</f>
        <v>30.061797593078722</v>
      </c>
      <c r="N11" s="140"/>
      <c r="U11" s="112"/>
      <c r="V11" s="112"/>
      <c r="W11" s="112"/>
    </row>
    <row r="12" spans="1:23" x14ac:dyDescent="0.2">
      <c r="A12" s="110">
        <v>3.5</v>
      </c>
      <c r="B12" s="115">
        <f>A12^3*Sheet!$D$75/2*Sheet!$D$7^2/4*PI()*Sheet!$D$76/100</f>
        <v>260.93940953515272</v>
      </c>
      <c r="C12" s="115">
        <f>(Sheet!$D$41^4*Sheet!$D$32^2*Sheet!$F$25^2*(Sheet!$D$5*60*Stern!A12/(PI()*Sheet!$D$7))^2*Sheet!$D$13*0.001*Sheet!$D$11*2*Sheet!$F$35*Sheet!$D$43*PI())/(144*10^8*Sheet!$D$65)</f>
        <v>29.845418308764977</v>
      </c>
      <c r="D12" s="115">
        <f t="shared" si="0"/>
        <v>231.09399122638774</v>
      </c>
      <c r="E12" s="115">
        <f t="shared" si="4"/>
        <v>600</v>
      </c>
      <c r="F12" s="117">
        <f>(-Sheet!$D$29+SQRT(Sheet!$D$29^2+4*Sheet!$F$67*D12))/(2*Sheet!$F$67)</f>
        <v>0.38091461266219695</v>
      </c>
      <c r="G12" s="115">
        <f>F12^2*Sheet!$F$67</f>
        <v>2.5452236290688526</v>
      </c>
      <c r="H12" s="115">
        <f>F12*Sheet!$D$77</f>
        <v>0.45709753519463631</v>
      </c>
      <c r="I12" s="115">
        <f t="shared" si="1"/>
        <v>3.0023211642634888</v>
      </c>
      <c r="J12" s="115">
        <f t="shared" si="2"/>
        <v>228.09167006212425</v>
      </c>
      <c r="K12" s="115">
        <f t="shared" si="3"/>
        <v>87.586910694886427</v>
      </c>
      <c r="L12" s="110">
        <f>J12/(B12/Sheet!$D$76)</f>
        <v>30.594107905723924</v>
      </c>
      <c r="N12" s="140"/>
      <c r="U12" s="112"/>
      <c r="V12" s="112"/>
      <c r="W12" s="112"/>
    </row>
    <row r="13" spans="1:23" x14ac:dyDescent="0.2">
      <c r="A13" s="110">
        <v>4</v>
      </c>
      <c r="B13" s="115">
        <f>A13^3*Sheet!$D$75/2*Sheet!$D$7^2/4*PI()*Sheet!$D$76/100</f>
        <v>389.50722356267687</v>
      </c>
      <c r="C13" s="115">
        <f>(Sheet!$D$41^4*Sheet!$D$32^2*Sheet!$F$25^2*(Sheet!$D$5*60*Stern!A13/(PI()*Sheet!$D$7))^2*Sheet!$D$13*0.001*Sheet!$D$11*2*Sheet!$F$35*Sheet!$D$43*PI())/(144*10^8*Sheet!$D$65)</f>
        <v>38.981770852264454</v>
      </c>
      <c r="D13" s="115">
        <f t="shared" si="0"/>
        <v>350.52545271041242</v>
      </c>
      <c r="E13" s="115">
        <f t="shared" si="4"/>
        <v>600</v>
      </c>
      <c r="F13" s="117">
        <f>(-Sheet!$D$29+SQRT(Sheet!$D$29^2+4*Sheet!$F$67*D13))/(2*Sheet!$F$67)</f>
        <v>0.57455776537819492</v>
      </c>
      <c r="G13" s="115">
        <f>F13^2*Sheet!$F$67</f>
        <v>5.7907934834957988</v>
      </c>
      <c r="H13" s="115">
        <f>F13*Sheet!$D$77</f>
        <v>0.68946931845383386</v>
      </c>
      <c r="I13" s="115">
        <f t="shared" si="1"/>
        <v>6.4802628019496327</v>
      </c>
      <c r="J13" s="115">
        <f t="shared" si="2"/>
        <v>344.04518990846282</v>
      </c>
      <c r="K13" s="115">
        <f t="shared" si="3"/>
        <v>88.505331447709239</v>
      </c>
      <c r="L13" s="110">
        <f>J13/(B13/Sheet!$D$76)</f>
        <v>30.914912274684806</v>
      </c>
      <c r="N13" s="140"/>
      <c r="U13" s="112"/>
      <c r="V13" s="112"/>
      <c r="W13" s="112"/>
    </row>
    <row r="14" spans="1:23" x14ac:dyDescent="0.2">
      <c r="A14" s="110">
        <v>4.5</v>
      </c>
      <c r="B14" s="115">
        <f>A14^3*Sheet!$D$75/2*Sheet!$D$7^2/4*PI()*Sheet!$D$76/100</f>
        <v>554.59133979920216</v>
      </c>
      <c r="C14" s="115">
        <f>(Sheet!$D$41^4*Sheet!$D$32^2*Sheet!$F$25^2*(Sheet!$D$5*60*Stern!A14/(PI()*Sheet!$D$7))^2*Sheet!$D$13*0.001*Sheet!$D$11*2*Sheet!$F$35*Sheet!$D$43*PI())/(144*10^8*Sheet!$D$65)</f>
        <v>49.336303734897207</v>
      </c>
      <c r="D14" s="115">
        <f t="shared" si="0"/>
        <v>505.25503606430493</v>
      </c>
      <c r="E14" s="115">
        <f t="shared" si="4"/>
        <v>600</v>
      </c>
      <c r="F14" s="117">
        <f>(-Sheet!$D$29+SQRT(Sheet!$D$29^2+4*Sheet!$F$67*D14))/(2*Sheet!$F$67)</f>
        <v>0.82232188791351413</v>
      </c>
      <c r="G14" s="115">
        <f>F14^2*Sheet!$F$67</f>
        <v>11.861903316196546</v>
      </c>
      <c r="H14" s="115">
        <f>F14*Sheet!$D$77</f>
        <v>0.98678626549621695</v>
      </c>
      <c r="I14" s="115">
        <f t="shared" si="1"/>
        <v>12.848689581692764</v>
      </c>
      <c r="J14" s="115">
        <f t="shared" si="2"/>
        <v>492.40634648261215</v>
      </c>
      <c r="K14" s="115">
        <f t="shared" si="3"/>
        <v>88.965170809689994</v>
      </c>
      <c r="L14" s="110">
        <f>J14/(B14/Sheet!$D$76)</f>
        <v>31.07553416382471</v>
      </c>
      <c r="N14" s="140"/>
      <c r="U14" s="112"/>
      <c r="V14" s="112"/>
      <c r="W14" s="112"/>
    </row>
    <row r="15" spans="1:23" x14ac:dyDescent="0.2">
      <c r="A15" s="110">
        <v>5</v>
      </c>
      <c r="B15" s="115">
        <f>A15^3*Sheet!$D$75/2*Sheet!$D$7^2/4*PI()*Sheet!$D$76/100</f>
        <v>760.75629602085337</v>
      </c>
      <c r="C15" s="115">
        <f>(Sheet!$D$41^4*Sheet!$D$32^2*Sheet!$F$25^2*(Sheet!$D$5*60*Stern!A15/(PI()*Sheet!$D$7))^2*Sheet!$D$13*0.001*Sheet!$D$11*2*Sheet!$F$35*Sheet!$D$43*PI())/(144*10^8*Sheet!$D$65)</f>
        <v>60.90901695666323</v>
      </c>
      <c r="D15" s="115">
        <f t="shared" si="0"/>
        <v>699.84727906419016</v>
      </c>
      <c r="E15" s="115">
        <f t="shared" si="4"/>
        <v>600</v>
      </c>
      <c r="F15" s="117">
        <f>(-Sheet!$D$29+SQRT(Sheet!$D$29^2+4*Sheet!$F$67*D15))/(2*Sheet!$F$67)</f>
        <v>1.1291375217752007</v>
      </c>
      <c r="G15" s="115">
        <f>F15^2*Sheet!$F$67</f>
        <v>22.364765999070546</v>
      </c>
      <c r="H15" s="115">
        <f>F15*Sheet!$D$77</f>
        <v>1.3549650261302408</v>
      </c>
      <c r="I15" s="115">
        <f t="shared" si="1"/>
        <v>23.719731025200787</v>
      </c>
      <c r="J15" s="115">
        <f t="shared" si="2"/>
        <v>676.1275480389894</v>
      </c>
      <c r="K15" s="115">
        <f t="shared" si="3"/>
        <v>89.05381613122394</v>
      </c>
      <c r="L15" s="110">
        <f>J15/(B15/Sheet!$D$76)</f>
        <v>31.106497974636486</v>
      </c>
      <c r="N15" s="140"/>
      <c r="U15" s="112"/>
      <c r="V15" s="112"/>
      <c r="W15" s="112"/>
    </row>
    <row r="16" spans="1:23" x14ac:dyDescent="0.2">
      <c r="A16" s="110">
        <v>5.5</v>
      </c>
      <c r="B16" s="115">
        <f>A16^3*Sheet!$D$75/2*Sheet!$D$7^2/4*PI()*Sheet!$D$76/100</f>
        <v>1012.5666300037556</v>
      </c>
      <c r="C16" s="115">
        <f>(Sheet!$D$41^4*Sheet!$D$32^2*Sheet!$F$25^2*(Sheet!$D$5*60*Stern!A16/(PI()*Sheet!$D$7))^2*Sheet!$D$13*0.001*Sheet!$D$11*2*Sheet!$F$35*Sheet!$D$43*PI())/(144*10^8*Sheet!$D$65)</f>
        <v>73.6999105175625</v>
      </c>
      <c r="D16" s="115">
        <f t="shared" si="0"/>
        <v>938.86671948619301</v>
      </c>
      <c r="E16" s="115">
        <f t="shared" si="4"/>
        <v>600</v>
      </c>
      <c r="F16" s="117">
        <f>(-Sheet!$D$29+SQRT(Sheet!$D$29^2+4*Sheet!$F$67*D16))/(2*Sheet!$F$67)</f>
        <v>1.4990775259871578</v>
      </c>
      <c r="G16" s="115">
        <f>F16^2*Sheet!$F$67</f>
        <v>39.42020389389878</v>
      </c>
      <c r="H16" s="115">
        <f>F16*Sheet!$D$77</f>
        <v>1.7988930311845892</v>
      </c>
      <c r="I16" s="115">
        <f t="shared" si="1"/>
        <v>41.21909692508337</v>
      </c>
      <c r="J16" s="115">
        <f t="shared" si="2"/>
        <v>897.64762256110964</v>
      </c>
      <c r="K16" s="115">
        <f t="shared" si="3"/>
        <v>88.828378196599132</v>
      </c>
      <c r="L16" s="110">
        <f>J16/(B16/Sheet!$D$76)</f>
        <v>31.027752504072065</v>
      </c>
      <c r="N16" s="140"/>
      <c r="U16" s="112"/>
      <c r="V16" s="112"/>
      <c r="W16" s="112"/>
    </row>
    <row r="17" spans="1:23" x14ac:dyDescent="0.2">
      <c r="A17" s="110">
        <v>6</v>
      </c>
      <c r="B17" s="115">
        <f>A17^3*Sheet!$D$75/2*Sheet!$D$7^2/4*PI()*Sheet!$D$76/100</f>
        <v>1314.5868795240344</v>
      </c>
      <c r="C17" s="115">
        <f>(Sheet!$D$41^4*Sheet!$D$32^2*Sheet!$F$25^2*(Sheet!$D$5*60*Stern!A17/(PI()*Sheet!$D$7))^2*Sheet!$D$13*0.001*Sheet!$D$11*2*Sheet!$F$35*Sheet!$D$43*PI())/(144*10^8*Sheet!$D$65)</f>
        <v>87.708984417595033</v>
      </c>
      <c r="D17" s="115">
        <f t="shared" si="0"/>
        <v>1226.8778951064394</v>
      </c>
      <c r="E17" s="115">
        <f t="shared" si="4"/>
        <v>600</v>
      </c>
      <c r="F17" s="117">
        <f>(-Sheet!$D$29+SQRT(Sheet!$D$29^2+4*Sheet!$F$67*D17))/(2*Sheet!$F$67)</f>
        <v>1.9352964173725531</v>
      </c>
      <c r="G17" s="115">
        <f>F17^2*Sheet!$F$67</f>
        <v>65.700044682906849</v>
      </c>
      <c r="H17" s="115">
        <f>F17*Sheet!$D$77</f>
        <v>2.3223557008470634</v>
      </c>
      <c r="I17" s="115">
        <f t="shared" si="1"/>
        <v>68.022400383753919</v>
      </c>
      <c r="J17" s="115">
        <f t="shared" si="2"/>
        <v>1158.8554947226855</v>
      </c>
      <c r="K17" s="115">
        <f t="shared" si="3"/>
        <v>88.330247966871042</v>
      </c>
      <c r="L17" s="110">
        <f>J17/(B17/Sheet!$D$76)</f>
        <v>30.853755614828071</v>
      </c>
      <c r="N17" s="140"/>
      <c r="U17" s="112"/>
      <c r="V17" s="112"/>
      <c r="W17" s="112"/>
    </row>
    <row r="18" spans="1:23" x14ac:dyDescent="0.2">
      <c r="A18" s="110">
        <v>6.5</v>
      </c>
      <c r="B18" s="115">
        <f>A18^3*Sheet!$D$75/2*Sheet!$D$7^2/4*PI()*Sheet!$D$76/100</f>
        <v>1671.3815823578148</v>
      </c>
      <c r="C18" s="115">
        <f>(Sheet!$D$41^4*Sheet!$D$32^2*Sheet!$F$25^2*(Sheet!$D$5*60*Stern!A18/(PI()*Sheet!$D$7))^2*Sheet!$D$13*0.001*Sheet!$D$11*2*Sheet!$F$35*Sheet!$D$43*PI())/(144*10^8*Sheet!$D$65)</f>
        <v>102.93623865676084</v>
      </c>
      <c r="D18" s="115">
        <f t="shared" si="0"/>
        <v>1568.4453437010538</v>
      </c>
      <c r="E18" s="115">
        <f t="shared" si="4"/>
        <v>600</v>
      </c>
      <c r="F18" s="117">
        <f>(-Sheet!$D$29+SQRT(Sheet!$D$29^2+4*Sheet!$F$67*D18))/(2*Sheet!$F$67)</f>
        <v>2.4400135923964639</v>
      </c>
      <c r="G18" s="115">
        <f>F18^2*Sheet!$F$67</f>
        <v>104.43718826317452</v>
      </c>
      <c r="H18" s="115">
        <f>F18*Sheet!$D$77</f>
        <v>2.9280163108757566</v>
      </c>
      <c r="I18" s="115">
        <f t="shared" si="1"/>
        <v>107.36520457405028</v>
      </c>
      <c r="J18" s="115">
        <f t="shared" si="2"/>
        <v>1461.0801391270036</v>
      </c>
      <c r="K18" s="115">
        <f t="shared" si="3"/>
        <v>87.592694025777448</v>
      </c>
      <c r="L18" s="110">
        <f>J18/(B18/Sheet!$D$76)</f>
        <v>30.596128023204088</v>
      </c>
      <c r="N18" s="140"/>
      <c r="U18" s="112"/>
      <c r="V18" s="112"/>
      <c r="W18" s="112"/>
    </row>
    <row r="19" spans="1:23" x14ac:dyDescent="0.2">
      <c r="A19" s="110">
        <v>7</v>
      </c>
      <c r="B19" s="115">
        <f>A19^3*Sheet!$D$75/2*Sheet!$D$7^2/4*PI()*Sheet!$D$76/100</f>
        <v>2087.5152762812218</v>
      </c>
      <c r="C19" s="115">
        <f>(Sheet!$D$41^4*Sheet!$D$32^2*Sheet!$F$25^2*(Sheet!$D$5*60*Stern!A19/(PI()*Sheet!$D$7))^2*Sheet!$D$13*0.001*Sheet!$D$11*2*Sheet!$F$35*Sheet!$D$43*PI())/(144*10^8*Sheet!$D$65)</f>
        <v>119.38167323505991</v>
      </c>
      <c r="D19" s="115">
        <f t="shared" si="0"/>
        <v>1968.1336030461619</v>
      </c>
      <c r="E19" s="115">
        <f t="shared" si="4"/>
        <v>600</v>
      </c>
      <c r="F19" s="117">
        <f>(-Sheet!$D$29+SQRT(Sheet!$D$29^2+4*Sheet!$F$67*D19))/(2*Sheet!$F$67)</f>
        <v>3.0145408835613066</v>
      </c>
      <c r="G19" s="115">
        <f>F19^2*Sheet!$F$67</f>
        <v>159.40907290937758</v>
      </c>
      <c r="H19" s="115">
        <f>F19*Sheet!$D$77</f>
        <v>3.6174490602735676</v>
      </c>
      <c r="I19" s="115">
        <f t="shared" si="1"/>
        <v>163.02652196965116</v>
      </c>
      <c r="J19" s="115">
        <f t="shared" si="2"/>
        <v>1805.1070810765107</v>
      </c>
      <c r="K19" s="115">
        <f t="shared" si="3"/>
        <v>86.644852408405555</v>
      </c>
      <c r="L19" s="110">
        <f>J19/(B19/Sheet!$D$76)</f>
        <v>30.265046946256064</v>
      </c>
      <c r="N19" s="140"/>
      <c r="U19" s="112"/>
      <c r="V19" s="112"/>
      <c r="W19" s="112"/>
    </row>
    <row r="20" spans="1:23" x14ac:dyDescent="0.2">
      <c r="A20" s="110">
        <v>7.5</v>
      </c>
      <c r="B20" s="115">
        <f>A20^3*Sheet!$D$75/2*Sheet!$D$7^2/4*PI()*Sheet!$D$76/100</f>
        <v>2567.5524990703798</v>
      </c>
      <c r="C20" s="115">
        <f>(Sheet!$D$41^4*Sheet!$D$32^2*Sheet!$F$25^2*(Sheet!$D$5*60*Stern!A20/(PI()*Sheet!$D$7))^2*Sheet!$D$13*0.001*Sheet!$D$11*2*Sheet!$F$35*Sheet!$D$43*PI())/(144*10^8*Sheet!$D$65)</f>
        <v>137.04528815249228</v>
      </c>
      <c r="D20" s="115">
        <f t="shared" si="0"/>
        <v>2430.5072109178873</v>
      </c>
      <c r="E20" s="115">
        <f t="shared" si="4"/>
        <v>600</v>
      </c>
      <c r="F20" s="117">
        <f>(-Sheet!$D$29+SQRT(Sheet!$D$29^2+4*Sheet!$F$67*D20))/(2*Sheet!$F$67)</f>
        <v>3.6593494661244699</v>
      </c>
      <c r="G20" s="115">
        <f>F20^2*Sheet!$F$67</f>
        <v>234.89753124320566</v>
      </c>
      <c r="H20" s="115">
        <f>F20*Sheet!$D$77</f>
        <v>4.391219359349364</v>
      </c>
      <c r="I20" s="115">
        <f t="shared" si="1"/>
        <v>239.28875060255501</v>
      </c>
      <c r="J20" s="115">
        <f t="shared" si="2"/>
        <v>2191.2184603153323</v>
      </c>
      <c r="K20" s="115">
        <f t="shared" si="3"/>
        <v>85.513720964600921</v>
      </c>
      <c r="L20" s="110">
        <f>J20/(B20/Sheet!$D$76)</f>
        <v>29.869942732935094</v>
      </c>
      <c r="N20" s="140"/>
      <c r="U20" s="112"/>
      <c r="V20" s="112"/>
      <c r="W20" s="112"/>
    </row>
    <row r="21" spans="1:23" x14ac:dyDescent="0.2">
      <c r="A21" s="110">
        <v>8</v>
      </c>
      <c r="B21" s="115">
        <f>A21^3*Sheet!$D$75/2*Sheet!$D$7^2/4*PI()*Sheet!$D$76/100</f>
        <v>3116.057788501415</v>
      </c>
      <c r="C21" s="115">
        <f>(Sheet!$D$41^4*Sheet!$D$32^2*Sheet!$F$25^2*(Sheet!$D$5*60*Stern!A21/(PI()*Sheet!$D$7))^2*Sheet!$D$13*0.001*Sheet!$D$11*2*Sheet!$F$35*Sheet!$D$43*PI())/(144*10^8*Sheet!$D$65)</f>
        <v>155.92708340905781</v>
      </c>
      <c r="D21" s="115">
        <f t="shared" si="0"/>
        <v>2960.1307050923569</v>
      </c>
      <c r="E21" s="115">
        <f t="shared" si="4"/>
        <v>600</v>
      </c>
      <c r="F21" s="117">
        <f>(-Sheet!$D$29+SQRT(Sheet!$D$29^2+4*Sheet!$F$67*D21))/(2*Sheet!$F$67)</f>
        <v>4.3741670279411613</v>
      </c>
      <c r="G21" s="115">
        <f>F21^2*Sheet!$F$67</f>
        <v>335.63048832766157</v>
      </c>
      <c r="H21" s="115">
        <f>F21*Sheet!$D$77</f>
        <v>5.2490004335293934</v>
      </c>
      <c r="I21" s="115">
        <f t="shared" si="1"/>
        <v>340.87948876119094</v>
      </c>
      <c r="J21" s="115">
        <f t="shared" si="2"/>
        <v>2619.2512163311658</v>
      </c>
      <c r="K21" s="115">
        <f t="shared" si="3"/>
        <v>84.225017470772912</v>
      </c>
      <c r="L21" s="110">
        <f>J21/(B21/Sheet!$D$76)</f>
        <v>29.419798602540958</v>
      </c>
      <c r="N21" s="140"/>
      <c r="U21" s="112"/>
      <c r="V21" s="112"/>
      <c r="W21" s="112"/>
    </row>
    <row r="22" spans="1:23" x14ac:dyDescent="0.2">
      <c r="A22" s="110">
        <v>8.5</v>
      </c>
      <c r="B22" s="115">
        <f>A22^3*Sheet!$D$75/2*Sheet!$D$7^2/4*PI()*Sheet!$D$76/100</f>
        <v>3737.5956823504516</v>
      </c>
      <c r="C22" s="115">
        <f>(Sheet!$D$41^4*Sheet!$D$32^2*Sheet!$F$25^2*(Sheet!$D$5*60*Stern!A22/(PI()*Sheet!$D$7))^2*Sheet!$D$13*0.001*Sheet!$D$11*2*Sheet!$F$35*Sheet!$D$43*PI())/(144*10^8*Sheet!$D$65)</f>
        <v>176.02705900475672</v>
      </c>
      <c r="D22" s="115">
        <f t="shared" si="0"/>
        <v>3561.568623345695</v>
      </c>
      <c r="E22" s="115">
        <f t="shared" si="4"/>
        <v>600</v>
      </c>
      <c r="F22" s="117">
        <f>(-Sheet!$D$29+SQRT(Sheet!$D$29^2+4*Sheet!$F$67*D22))/(2*Sheet!$F$67)</f>
        <v>5.1580939876013927</v>
      </c>
      <c r="G22" s="115">
        <f>F22^2*Sheet!$F$67</f>
        <v>466.71223078485815</v>
      </c>
      <c r="H22" s="115">
        <f>F22*Sheet!$D$77</f>
        <v>6.1897127851216709</v>
      </c>
      <c r="I22" s="115">
        <f t="shared" si="1"/>
        <v>472.90194356997984</v>
      </c>
      <c r="J22" s="115">
        <f t="shared" si="2"/>
        <v>3088.6666797757152</v>
      </c>
      <c r="K22" s="115">
        <f t="shared" si="3"/>
        <v>82.803402389810699</v>
      </c>
      <c r="L22" s="110">
        <f>J22/(B22/Sheet!$D$76)</f>
        <v>28.923228454760892</v>
      </c>
      <c r="N22" s="140"/>
      <c r="U22" s="112"/>
      <c r="V22" s="112"/>
      <c r="W22" s="112"/>
    </row>
    <row r="23" spans="1:23" x14ac:dyDescent="0.2">
      <c r="A23" s="110">
        <v>9</v>
      </c>
      <c r="B23" s="115">
        <f>A23^3*Sheet!$D$75/2*Sheet!$D$7^2/4*PI()*Sheet!$D$76/100</f>
        <v>4436.7307183936173</v>
      </c>
      <c r="C23" s="115">
        <f>(Sheet!$D$41^4*Sheet!$D$32^2*Sheet!$F$25^2*(Sheet!$D$5*60*Stern!A23/(PI()*Sheet!$D$7))^2*Sheet!$D$13*0.001*Sheet!$D$11*2*Sheet!$F$35*Sheet!$D$43*PI())/(144*10^8*Sheet!$D$65)</f>
        <v>197.34521493958883</v>
      </c>
      <c r="D23" s="115">
        <f t="shared" si="0"/>
        <v>4239.3855034540284</v>
      </c>
      <c r="E23" s="115">
        <f t="shared" si="4"/>
        <v>600</v>
      </c>
      <c r="F23" s="117">
        <f>(-Sheet!$D$29+SQRT(Sheet!$D$29^2+4*Sheet!$F$67*D23))/(2*Sheet!$F$67)</f>
        <v>6.0097274499120887</v>
      </c>
      <c r="G23" s="115">
        <f>F23^2*Sheet!$F$67</f>
        <v>633.54903350677625</v>
      </c>
      <c r="H23" s="115">
        <f>F23*Sheet!$D$77</f>
        <v>7.2116729398945063</v>
      </c>
      <c r="I23" s="115">
        <f t="shared" si="1"/>
        <v>640.76070644667072</v>
      </c>
      <c r="J23" s="115">
        <f t="shared" si="2"/>
        <v>3598.6247970073578</v>
      </c>
      <c r="K23" s="115">
        <f t="shared" si="3"/>
        <v>81.272375963641949</v>
      </c>
      <c r="L23" s="110">
        <f>J23/(B23/Sheet!$D$76)</f>
        <v>28.388440924100127</v>
      </c>
      <c r="N23" s="140"/>
      <c r="U23" s="112"/>
      <c r="V23" s="112"/>
      <c r="W23" s="112"/>
    </row>
    <row r="24" spans="1:23" x14ac:dyDescent="0.2">
      <c r="A24" s="110">
        <v>9.5</v>
      </c>
      <c r="B24" s="115">
        <f>A24^3*Sheet!$D$75/2*Sheet!$D$7^2/4*PI()*Sheet!$D$76/100</f>
        <v>5218.027434407034</v>
      </c>
      <c r="C24" s="115">
        <f>(Sheet!$D$41^4*Sheet!$D$32^2*Sheet!$F$25^2*(Sheet!$D$5*60*Stern!A24/(PI()*Sheet!$D$7))^2*Sheet!$D$13*0.001*Sheet!$D$11*2*Sheet!$F$35*Sheet!$D$43*PI())/(144*10^8*Sheet!$D$65)</f>
        <v>219.88155121355422</v>
      </c>
      <c r="D24" s="115">
        <f t="shared" si="0"/>
        <v>4998.1458831934797</v>
      </c>
      <c r="E24" s="115">
        <f t="shared" si="4"/>
        <v>600</v>
      </c>
      <c r="F24" s="117">
        <f>(-Sheet!$D$29+SQRT(Sheet!$D$29^2+4*Sheet!$F$67*D24))/(2*Sheet!$F$67)</f>
        <v>6.9272830970649393</v>
      </c>
      <c r="G24" s="115">
        <f>F24^2*Sheet!$F$67</f>
        <v>841.77602495451401</v>
      </c>
      <c r="H24" s="115">
        <f>F24*Sheet!$D$77</f>
        <v>8.3127397164779264</v>
      </c>
      <c r="I24" s="115">
        <f t="shared" si="1"/>
        <v>850.08876467099196</v>
      </c>
      <c r="J24" s="115">
        <f t="shared" si="2"/>
        <v>4148.0571185224881</v>
      </c>
      <c r="K24" s="115">
        <f t="shared" si="3"/>
        <v>79.654043802690069</v>
      </c>
      <c r="L24" s="110">
        <f>J24/(B24/Sheet!$D$76)</f>
        <v>27.823157500279656</v>
      </c>
      <c r="N24" s="140"/>
      <c r="U24" s="112"/>
      <c r="V24" s="112"/>
      <c r="W24" s="112"/>
    </row>
    <row r="25" spans="1:23" x14ac:dyDescent="0.2">
      <c r="A25" s="110">
        <v>10</v>
      </c>
      <c r="B25" s="115">
        <f>A25^3*Sheet!$D$75/2*Sheet!$D$7^2/4*PI()*Sheet!$D$76/100</f>
        <v>6086.050368166827</v>
      </c>
      <c r="C25" s="115">
        <f>(Sheet!$D$41^4*Sheet!$D$32^2*Sheet!$F$25^2*(Sheet!$D$5*60*Stern!A25/(PI()*Sheet!$D$7))^2*Sheet!$D$13*0.001*Sheet!$D$11*2*Sheet!$F$35*Sheet!$D$43*PI())/(144*10^8*Sheet!$D$65)</f>
        <v>243.63606782665292</v>
      </c>
      <c r="D25" s="115">
        <f t="shared" si="0"/>
        <v>5842.4143003401741</v>
      </c>
      <c r="E25" s="115">
        <f t="shared" si="4"/>
        <v>600</v>
      </c>
      <c r="F25" s="117">
        <f>(-Sheet!$D$29+SQRT(Sheet!$D$29^2+4*Sheet!$F$67*D25))/(2*Sheet!$F$67)</f>
        <v>7.9087076576135846</v>
      </c>
      <c r="G25" s="115">
        <f>F25^2*Sheet!$F$67</f>
        <v>1097.1897057720257</v>
      </c>
      <c r="H25" s="115">
        <f>F25*Sheet!$D$77</f>
        <v>9.4904491891363012</v>
      </c>
      <c r="I25" s="115">
        <f t="shared" si="1"/>
        <v>1106.6801549611621</v>
      </c>
      <c r="J25" s="115">
        <f t="shared" si="2"/>
        <v>4735.7341453790123</v>
      </c>
      <c r="K25" s="115">
        <f t="shared" si="3"/>
        <v>77.968868272732593</v>
      </c>
      <c r="L25" s="110">
        <f>J25/(B25/Sheet!$D$76)</f>
        <v>27.234525687665485</v>
      </c>
      <c r="N25" s="140"/>
      <c r="U25" s="112"/>
      <c r="V25" s="112"/>
      <c r="W25" s="112"/>
    </row>
    <row r="26" spans="1:23" x14ac:dyDescent="0.2">
      <c r="A26" s="110">
        <v>10.5</v>
      </c>
      <c r="B26" s="115">
        <f>A26^3*Sheet!$D$75/2*Sheet!$D$7^2/4*PI()*Sheet!$D$76/100</f>
        <v>7045.3640574491219</v>
      </c>
      <c r="C26" s="115">
        <f>(Sheet!$D$41^4*Sheet!$D$32^2*Sheet!$F$25^2*(Sheet!$D$5*60*Stern!A26/(PI()*Sheet!$D$7))^2*Sheet!$D$13*0.001*Sheet!$D$11*2*Sheet!$F$35*Sheet!$D$43*PI())/(144*10^8*Sheet!$D$65)</f>
        <v>268.60876477888485</v>
      </c>
      <c r="D26" s="115">
        <f t="shared" si="0"/>
        <v>6776.7552926702374</v>
      </c>
      <c r="E26" s="115">
        <f t="shared" si="4"/>
        <v>600</v>
      </c>
      <c r="F26" s="117">
        <f>(-Sheet!$D$29+SQRT(Sheet!$D$29^2+4*Sheet!$F$67*D26))/(2*Sheet!$F$67)</f>
        <v>8.9517773033713333</v>
      </c>
      <c r="G26" s="115">
        <f>F26^2*Sheet!$F$67</f>
        <v>1405.6889106474393</v>
      </c>
      <c r="H26" s="115">
        <f>F26*Sheet!$D$77</f>
        <v>10.7421327640456</v>
      </c>
      <c r="I26" s="115">
        <f t="shared" si="1"/>
        <v>1416.431043411485</v>
      </c>
      <c r="J26" s="115">
        <f t="shared" si="2"/>
        <v>5360.3242492587524</v>
      </c>
      <c r="K26" s="115">
        <f t="shared" si="3"/>
        <v>76.235469710666365</v>
      </c>
      <c r="L26" s="110">
        <f>J26/(B26/Sheet!$D$76)</f>
        <v>26.629049569935752</v>
      </c>
      <c r="N26" s="140"/>
      <c r="U26" s="112"/>
      <c r="V26" s="112"/>
      <c r="W26" s="112"/>
    </row>
    <row r="27" spans="1:23" x14ac:dyDescent="0.2">
      <c r="A27" s="110">
        <v>11</v>
      </c>
      <c r="B27" s="115">
        <f>A27^3*Sheet!$D$75/2*Sheet!$D$7^2/4*PI()*Sheet!$D$76/100</f>
        <v>8100.5330400300445</v>
      </c>
      <c r="C27" s="115">
        <f>(Sheet!$D$41^4*Sheet!$D$32^2*Sheet!$F$25^2*(Sheet!$D$5*60*Stern!A27/(PI()*Sheet!$D$7))^2*Sheet!$D$13*0.001*Sheet!$D$11*2*Sheet!$F$35*Sheet!$D$43*PI())/(144*10^8*Sheet!$D$65)</f>
        <v>294.79964207025</v>
      </c>
      <c r="D27" s="115">
        <f t="shared" si="0"/>
        <v>7805.7333979597943</v>
      </c>
      <c r="E27" s="115">
        <f t="shared" si="4"/>
        <v>600</v>
      </c>
      <c r="F27" s="117">
        <f>(-Sheet!$D$29+SQRT(Sheet!$D$29^2+4*Sheet!$F$67*D27))/(2*Sheet!$F$67)</f>
        <v>10.054179790779202</v>
      </c>
      <c r="G27" s="115">
        <f>F27^2*Sheet!$F$67</f>
        <v>1773.2255234922729</v>
      </c>
      <c r="H27" s="115">
        <f>F27*Sheet!$D$77</f>
        <v>12.065015748935041</v>
      </c>
      <c r="I27" s="115">
        <f t="shared" si="1"/>
        <v>1785.2905392412081</v>
      </c>
      <c r="J27" s="115">
        <f t="shared" si="2"/>
        <v>6020.4428587185866</v>
      </c>
      <c r="K27" s="115">
        <f t="shared" si="3"/>
        <v>74.470505146475489</v>
      </c>
      <c r="L27" s="110">
        <f>J27/(B27/Sheet!$D$76)</f>
        <v>26.012547447663888</v>
      </c>
      <c r="N27" s="140"/>
      <c r="U27" s="112"/>
      <c r="V27" s="112"/>
      <c r="W27" s="112"/>
    </row>
    <row r="28" spans="1:23" x14ac:dyDescent="0.2">
      <c r="A28" s="110">
        <v>11.5</v>
      </c>
      <c r="B28" s="115">
        <f>A28^3*Sheet!$D$75/2*Sheet!$D$7^2/4*PI()*Sheet!$D$76/100</f>
        <v>9256.1218536857232</v>
      </c>
      <c r="C28" s="115">
        <f>(Sheet!$D$41^4*Sheet!$D$32^2*Sheet!$F$25^2*(Sheet!$D$5*60*Stern!A28/(PI()*Sheet!$D$7))^2*Sheet!$D$13*0.001*Sheet!$D$11*2*Sheet!$F$35*Sheet!$D$43*PI())/(144*10^8*Sheet!$D$65)</f>
        <v>322.20869970074841</v>
      </c>
      <c r="D28" s="115">
        <f t="shared" si="0"/>
        <v>8933.913153984975</v>
      </c>
      <c r="E28" s="115">
        <f t="shared" si="4"/>
        <v>600</v>
      </c>
      <c r="F28" s="117">
        <f>(-Sheet!$D$29+SQRT(Sheet!$D$29^2+4*Sheet!$F$67*D28))/(2*Sheet!$F$67)</f>
        <v>11.213580104610886</v>
      </c>
      <c r="G28" s="115">
        <f>F28^2*Sheet!$F$67</f>
        <v>2205.7650912184454</v>
      </c>
      <c r="H28" s="115">
        <f>F28*Sheet!$D$77</f>
        <v>13.456296125533063</v>
      </c>
      <c r="I28" s="115">
        <f t="shared" si="1"/>
        <v>2219.2213873439782</v>
      </c>
      <c r="J28" s="115">
        <f t="shared" si="2"/>
        <v>6714.6917666409972</v>
      </c>
      <c r="K28" s="115">
        <f t="shared" si="3"/>
        <v>72.688628878491159</v>
      </c>
      <c r="L28" s="110">
        <f>J28/(B28/Sheet!$D$76)</f>
        <v>25.390138067256959</v>
      </c>
      <c r="N28" s="140"/>
      <c r="U28" s="112"/>
      <c r="V28" s="112"/>
      <c r="W28" s="112"/>
    </row>
    <row r="29" spans="1:23" x14ac:dyDescent="0.2">
      <c r="A29" s="110">
        <v>12</v>
      </c>
      <c r="B29" s="115">
        <f>A29^3*Sheet!$D$75/2*Sheet!$D$7^2/4*PI()*Sheet!$D$76/100</f>
        <v>10516.695036192275</v>
      </c>
      <c r="C29" s="115">
        <f>(Sheet!$D$41^4*Sheet!$D$32^2*Sheet!$F$25^2*(Sheet!$D$5*60*Stern!A29/(PI()*Sheet!$D$7))^2*Sheet!$D$13*0.001*Sheet!$D$11*2*Sheet!$F$35*Sheet!$D$43*PI())/(144*10^8*Sheet!$D$65)</f>
        <v>350.83593767038013</v>
      </c>
      <c r="D29" s="115">
        <f t="shared" si="0"/>
        <v>10165.859098521896</v>
      </c>
      <c r="E29" s="115">
        <f t="shared" si="4"/>
        <v>600</v>
      </c>
      <c r="F29" s="117">
        <f>(-Sheet!$D$29+SQRT(Sheet!$D$29^2+4*Sheet!$F$67*D29))/(2*Sheet!$F$67)</f>
        <v>12.427670692710189</v>
      </c>
      <c r="G29" s="115">
        <f>F29^2*Sheet!$F$67</f>
        <v>2709.2566828957856</v>
      </c>
      <c r="H29" s="115">
        <f>F29*Sheet!$D$77</f>
        <v>14.913204831252227</v>
      </c>
      <c r="I29" s="115">
        <f t="shared" si="1"/>
        <v>2724.1698877270378</v>
      </c>
      <c r="J29" s="115">
        <f>IF(I29&gt;0,D29-I29,0)</f>
        <v>7441.6892107948588</v>
      </c>
      <c r="K29" s="115">
        <f t="shared" si="3"/>
        <v>70.90252584072158</v>
      </c>
      <c r="L29" s="110">
        <f>J29/(B29/Sheet!$D$76)</f>
        <v>24.766252276164042</v>
      </c>
      <c r="N29" s="140"/>
      <c r="U29" s="112"/>
      <c r="V29" s="112"/>
      <c r="W29" s="112"/>
    </row>
    <row r="30" spans="1:23" x14ac:dyDescent="0.2"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U30" s="112"/>
      <c r="V30" s="112"/>
      <c r="W30" s="112"/>
    </row>
    <row r="31" spans="1:23" x14ac:dyDescent="0.2">
      <c r="A31" s="1"/>
      <c r="C31" s="1"/>
      <c r="U31" s="112"/>
      <c r="V31" s="112"/>
      <c r="W31" s="112"/>
    </row>
    <row r="32" spans="1:23" x14ac:dyDescent="0.2">
      <c r="A32" s="1"/>
      <c r="C32" s="1"/>
    </row>
    <row r="33" spans="1:3" x14ac:dyDescent="0.2">
      <c r="A33" s="1"/>
      <c r="C33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5.140625" customWidth="1"/>
    <col min="2" max="2" width="11.42578125" customWidth="1"/>
    <col min="3" max="3" width="18.140625" customWidth="1"/>
    <col min="4" max="4" width="10.7109375" customWidth="1"/>
    <col min="5" max="5" width="20.140625" customWidth="1"/>
    <col min="6" max="6" width="10" customWidth="1"/>
    <col min="7" max="7" width="11.42578125" customWidth="1"/>
    <col min="8" max="8" width="18.85546875" customWidth="1"/>
    <col min="9" max="9" width="15.7109375" customWidth="1"/>
    <col min="12" max="12" width="13.140625" customWidth="1"/>
  </cols>
  <sheetData>
    <row r="1" spans="1:23" ht="26.25" x14ac:dyDescent="0.4">
      <c r="A1" s="111" t="s">
        <v>129</v>
      </c>
    </row>
    <row r="3" spans="1:23" ht="15.75" x14ac:dyDescent="0.25">
      <c r="A3" s="118" t="s">
        <v>125</v>
      </c>
      <c r="B3" s="113" t="s">
        <v>120</v>
      </c>
      <c r="C3" s="113" t="s">
        <v>126</v>
      </c>
      <c r="D3" s="113" t="s">
        <v>132</v>
      </c>
      <c r="E3" s="113" t="s">
        <v>130</v>
      </c>
      <c r="F3" s="113" t="s">
        <v>88</v>
      </c>
      <c r="G3" s="113" t="s">
        <v>131</v>
      </c>
      <c r="H3" s="113" t="s">
        <v>133</v>
      </c>
      <c r="I3" s="113" t="s">
        <v>135</v>
      </c>
      <c r="J3" s="113" t="s">
        <v>134</v>
      </c>
      <c r="K3" s="113" t="s">
        <v>136</v>
      </c>
      <c r="L3" s="118" t="s">
        <v>138</v>
      </c>
    </row>
    <row r="4" spans="1:23" x14ac:dyDescent="0.2">
      <c r="A4" s="119" t="s">
        <v>123</v>
      </c>
      <c r="B4" s="114" t="s">
        <v>124</v>
      </c>
      <c r="C4" s="114" t="s">
        <v>124</v>
      </c>
      <c r="D4" s="114" t="s">
        <v>124</v>
      </c>
      <c r="E4" s="114" t="s">
        <v>127</v>
      </c>
      <c r="F4" s="114" t="s">
        <v>128</v>
      </c>
      <c r="G4" s="114" t="s">
        <v>124</v>
      </c>
      <c r="H4" s="114" t="s">
        <v>124</v>
      </c>
      <c r="I4" s="114" t="s">
        <v>124</v>
      </c>
      <c r="J4" s="114" t="s">
        <v>124</v>
      </c>
      <c r="K4" s="114" t="s">
        <v>137</v>
      </c>
      <c r="L4" s="119" t="s">
        <v>137</v>
      </c>
    </row>
    <row r="5" spans="1:23" ht="13.5" thickBot="1" x14ac:dyDescent="0.25">
      <c r="A5" s="12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0"/>
      <c r="U5" s="112"/>
      <c r="V5" s="112"/>
      <c r="W5" s="112"/>
    </row>
    <row r="6" spans="1:23" x14ac:dyDescent="0.2">
      <c r="B6" s="116"/>
      <c r="C6" s="116"/>
      <c r="D6" s="116"/>
      <c r="E6" s="116"/>
      <c r="F6" s="116"/>
      <c r="G6" s="116"/>
      <c r="H6" s="116"/>
      <c r="I6" s="116"/>
      <c r="J6" s="116"/>
      <c r="K6" s="116"/>
      <c r="U6" s="112"/>
      <c r="V6" s="112"/>
      <c r="W6" s="112"/>
    </row>
    <row r="7" spans="1:23" x14ac:dyDescent="0.2">
      <c r="A7" s="110">
        <v>1</v>
      </c>
      <c r="B7" s="115">
        <f>A7^3*Sheet!$D$75/2*Sheet!$D$7^2/4*PI()*Sheet!$D$76/100</f>
        <v>6.0860503681668261</v>
      </c>
      <c r="C7" s="115">
        <f>(Sheet!$D$41^4*Sheet!$D$32^2*Sheet!$F$25^2*(Sheet!$D$5*60*Dreieck!A7/(PI()*Sheet!$D$7))^2*Sheet!$D$13*0.001*Sheet!$D$11*2*Sheet!$F$37*Sheet!$D$43*PI())/(144*10^8*Sheet!$D$65)</f>
        <v>4.2205378296563856</v>
      </c>
      <c r="D7" s="115">
        <f>B7-C7</f>
        <v>1.8655125385104405</v>
      </c>
      <c r="E7" s="115">
        <f>Sheet!D29</f>
        <v>600</v>
      </c>
      <c r="F7" s="117">
        <f>(-Sheet!$D$29+SQRT(Sheet!$D$29^2+4*Sheet!$F$69*D7))/(2*Sheet!$F$69)</f>
        <v>3.1090243820354291E-3</v>
      </c>
      <c r="G7" s="115">
        <f>F7^2*Sheet!$F$69</f>
        <v>9.7909288936770642E-5</v>
      </c>
      <c r="H7" s="115">
        <f>F7*Sheet!$D$77</f>
        <v>3.7308292584425145E-3</v>
      </c>
      <c r="I7" s="115">
        <f>H7+G7</f>
        <v>3.8287385473792851E-3</v>
      </c>
      <c r="J7" s="115">
        <f>IF(I7&gt;0,D7-I7,0)</f>
        <v>1.8616837999630613</v>
      </c>
      <c r="K7" s="115">
        <f>E7*F7/B7*100</f>
        <v>30.650660385236627</v>
      </c>
      <c r="L7" s="110">
        <f>J7/(B7/Sheet!$D$76)</f>
        <v>10.706275672564571</v>
      </c>
      <c r="N7" s="140"/>
      <c r="U7" s="112"/>
      <c r="V7" s="112"/>
      <c r="W7" s="112"/>
    </row>
    <row r="8" spans="1:23" x14ac:dyDescent="0.2">
      <c r="A8" s="110">
        <v>1.5</v>
      </c>
      <c r="B8" s="115">
        <f>A8^3*Sheet!$D$75/2*Sheet!$D$7^2/4*PI()*Sheet!$D$76/100</f>
        <v>20.540419992563038</v>
      </c>
      <c r="C8" s="115">
        <f>(Sheet!$D$41^4*Sheet!$D$32^2*Sheet!$F$25^2*(Sheet!$D$5*60*Dreieck!A8/(PI()*Sheet!$D$7))^2*Sheet!$D$13*0.001*Sheet!$D$11*2*Sheet!$F$37*Sheet!$D$43*PI())/(144*10^8*Sheet!$D$65)</f>
        <v>9.4962101167268678</v>
      </c>
      <c r="D8" s="115">
        <f t="shared" ref="D8:D29" si="0">B8-C8</f>
        <v>11.04420987583617</v>
      </c>
      <c r="E8" s="115">
        <f>E7</f>
        <v>600</v>
      </c>
      <c r="F8" s="117">
        <f>(-Sheet!$D$29+SQRT(Sheet!$D$29^2+4*Sheet!$F$69*D8))/(2*Sheet!$F$69)</f>
        <v>1.8401300075590207E-2</v>
      </c>
      <c r="G8" s="115">
        <f>F8^2*Sheet!$F$69</f>
        <v>3.4298304821471352E-3</v>
      </c>
      <c r="H8" s="115">
        <f>F8*Sheet!$D$77</f>
        <v>2.2081560090708247E-2</v>
      </c>
      <c r="I8" s="115">
        <f t="shared" ref="I8:I29" si="1">H8+G8</f>
        <v>2.5511390572855383E-2</v>
      </c>
      <c r="J8" s="115">
        <f t="shared" ref="J8:J28" si="2">IF(I8&gt;0,D8-I8,0)</f>
        <v>11.018698485263315</v>
      </c>
      <c r="K8" s="115">
        <f t="shared" ref="K8:K29" si="3">E8*F8/B8*100</f>
        <v>53.751481466063503</v>
      </c>
      <c r="L8" s="110">
        <f>J8/(B8/Sheet!$D$76)</f>
        <v>18.775392476095806</v>
      </c>
      <c r="N8" s="140"/>
      <c r="U8" s="112"/>
      <c r="V8" s="112"/>
      <c r="W8" s="112"/>
    </row>
    <row r="9" spans="1:23" x14ac:dyDescent="0.2">
      <c r="A9" s="110">
        <v>2</v>
      </c>
      <c r="B9" s="115">
        <f>A9^3*Sheet!$D$75/2*Sheet!$D$7^2/4*PI()*Sheet!$D$76/100</f>
        <v>48.688402945334609</v>
      </c>
      <c r="C9" s="115">
        <f>(Sheet!$D$41^4*Sheet!$D$32^2*Sheet!$F$25^2*(Sheet!$D$5*60*Dreieck!A9/(PI()*Sheet!$D$7))^2*Sheet!$D$13*0.001*Sheet!$D$11*2*Sheet!$F$37*Sheet!$D$43*PI())/(144*10^8*Sheet!$D$65)</f>
        <v>16.882151318625542</v>
      </c>
      <c r="D9" s="115">
        <f t="shared" si="0"/>
        <v>31.806251626709066</v>
      </c>
      <c r="E9" s="115">
        <f t="shared" ref="E9:E29" si="4">E8</f>
        <v>600</v>
      </c>
      <c r="F9" s="117">
        <f>(-Sheet!$D$29+SQRT(Sheet!$D$29^2+4*Sheet!$F$69*D9))/(2*Sheet!$F$69)</f>
        <v>5.2963063859842521E-2</v>
      </c>
      <c r="G9" s="115">
        <f>F9^2*Sheet!$F$69</f>
        <v>2.8413310803424532E-2</v>
      </c>
      <c r="H9" s="115">
        <f>F9*Sheet!$D$77</f>
        <v>6.3555676631811026E-2</v>
      </c>
      <c r="I9" s="115">
        <f t="shared" si="1"/>
        <v>9.1968987435235558E-2</v>
      </c>
      <c r="J9" s="115">
        <f t="shared" si="2"/>
        <v>31.714282639273829</v>
      </c>
      <c r="K9" s="115">
        <f t="shared" si="3"/>
        <v>65.267777116420106</v>
      </c>
      <c r="L9" s="110">
        <f>J9/(B9/Sheet!$D$76)</f>
        <v>22.798034546765631</v>
      </c>
      <c r="N9" s="140"/>
      <c r="U9" s="112"/>
      <c r="V9" s="112"/>
      <c r="W9" s="112"/>
    </row>
    <row r="10" spans="1:23" x14ac:dyDescent="0.2">
      <c r="A10" s="110">
        <v>2.5</v>
      </c>
      <c r="B10" s="115">
        <f>A10^3*Sheet!$D$75/2*Sheet!$D$7^2/4*PI()*Sheet!$D$76/100</f>
        <v>95.094537002606671</v>
      </c>
      <c r="C10" s="115">
        <f>(Sheet!$D$41^4*Sheet!$D$32^2*Sheet!$F$25^2*(Sheet!$D$5*60*Dreieck!A10/(PI()*Sheet!$D$7))^2*Sheet!$D$13*0.001*Sheet!$D$11*2*Sheet!$F$37*Sheet!$D$43*PI())/(144*10^8*Sheet!$D$65)</f>
        <v>26.378361435352414</v>
      </c>
      <c r="D10" s="115">
        <f t="shared" si="0"/>
        <v>68.716175567254254</v>
      </c>
      <c r="E10" s="115">
        <f t="shared" si="4"/>
        <v>600</v>
      </c>
      <c r="F10" s="117">
        <f>(-Sheet!$D$29+SQRT(Sheet!$D$29^2+4*Sheet!$F$69*D10))/(2*Sheet!$F$69)</f>
        <v>0.11430637968617612</v>
      </c>
      <c r="G10" s="115">
        <f>F10^2*Sheet!$F$69</f>
        <v>0.13234775554931313</v>
      </c>
      <c r="H10" s="115">
        <f>F10*Sheet!$D$77</f>
        <v>0.13716765562341132</v>
      </c>
      <c r="I10" s="115">
        <f t="shared" si="1"/>
        <v>0.26951541117272448</v>
      </c>
      <c r="J10" s="115">
        <f t="shared" si="2"/>
        <v>68.446660156081535</v>
      </c>
      <c r="K10" s="115">
        <f t="shared" si="3"/>
        <v>72.121732723537733</v>
      </c>
      <c r="L10" s="110">
        <f>J10/(B10/Sheet!$D$76)</f>
        <v>25.192121240331463</v>
      </c>
      <c r="N10" s="140"/>
      <c r="U10" s="112"/>
      <c r="V10" s="112"/>
      <c r="W10" s="112"/>
    </row>
    <row r="11" spans="1:23" x14ac:dyDescent="0.2">
      <c r="A11" s="110">
        <v>3</v>
      </c>
      <c r="B11" s="115">
        <f>A11^3*Sheet!$D$75/2*Sheet!$D$7^2/4*PI()*Sheet!$D$76/100</f>
        <v>164.3233599405043</v>
      </c>
      <c r="C11" s="115">
        <f>(Sheet!$D$41^4*Sheet!$D$32^2*Sheet!$F$25^2*(Sheet!$D$5*60*Dreieck!A11/(PI()*Sheet!$D$7))^2*Sheet!$D$13*0.001*Sheet!$D$11*2*Sheet!$F$37*Sheet!$D$43*PI())/(144*10^8*Sheet!$D$65)</f>
        <v>37.984840466907471</v>
      </c>
      <c r="D11" s="115">
        <f t="shared" si="0"/>
        <v>126.33851947359683</v>
      </c>
      <c r="E11" s="115">
        <f t="shared" si="4"/>
        <v>600</v>
      </c>
      <c r="F11" s="117">
        <f>(-Sheet!$D$29+SQRT(Sheet!$D$29^2+4*Sheet!$F$69*D11))/(2*Sheet!$F$69)</f>
        <v>0.20982097093048344</v>
      </c>
      <c r="G11" s="115">
        <f>F11^2*Sheet!$F$69</f>
        <v>0.44593691530670909</v>
      </c>
      <c r="H11" s="115">
        <f>F11*Sheet!$D$77</f>
        <v>0.25178516511658011</v>
      </c>
      <c r="I11" s="115">
        <f t="shared" si="1"/>
        <v>0.6977220804232892</v>
      </c>
      <c r="J11" s="115">
        <f t="shared" si="2"/>
        <v>125.64079739317354</v>
      </c>
      <c r="K11" s="115">
        <f t="shared" si="3"/>
        <v>76.61271203550811</v>
      </c>
      <c r="L11" s="110">
        <f>J11/(B11/Sheet!$D$76)</f>
        <v>26.760820314002995</v>
      </c>
      <c r="N11" s="140"/>
      <c r="U11" s="112"/>
      <c r="V11" s="112"/>
      <c r="W11" s="112"/>
    </row>
    <row r="12" spans="1:23" x14ac:dyDescent="0.2">
      <c r="A12" s="110">
        <v>3.5</v>
      </c>
      <c r="B12" s="115">
        <f>A12^3*Sheet!$D$75/2*Sheet!$D$7^2/4*PI()*Sheet!$D$76/100</f>
        <v>260.93940953515272</v>
      </c>
      <c r="C12" s="115">
        <f>(Sheet!$D$41^4*Sheet!$D$32^2*Sheet!$F$25^2*(Sheet!$D$5*60*Dreieck!A12/(PI()*Sheet!$D$7))^2*Sheet!$D$13*0.001*Sheet!$D$11*2*Sheet!$F$37*Sheet!$D$43*PI())/(144*10^8*Sheet!$D$65)</f>
        <v>51.701588413290729</v>
      </c>
      <c r="D12" s="115">
        <f t="shared" si="0"/>
        <v>209.237821121862</v>
      </c>
      <c r="E12" s="115">
        <f t="shared" si="4"/>
        <v>600</v>
      </c>
      <c r="F12" s="117">
        <f>(-Sheet!$D$29+SQRT(Sheet!$D$29^2+4*Sheet!$F$69*D12))/(2*Sheet!$F$69)</f>
        <v>0.34670046271848176</v>
      </c>
      <c r="G12" s="115">
        <f>F12^2*Sheet!$F$69</f>
        <v>1.2175434907734588</v>
      </c>
      <c r="H12" s="115">
        <f>F12*Sheet!$D$77</f>
        <v>0.41604055526217809</v>
      </c>
      <c r="I12" s="115">
        <f t="shared" si="1"/>
        <v>1.633584046035637</v>
      </c>
      <c r="J12" s="115">
        <f t="shared" si="2"/>
        <v>207.60423707582635</v>
      </c>
      <c r="K12" s="115">
        <f t="shared" si="3"/>
        <v>79.719762530950845</v>
      </c>
      <c r="L12" s="110">
        <f>J12/(B12/Sheet!$D$76)</f>
        <v>27.846113052061057</v>
      </c>
      <c r="N12" s="140"/>
      <c r="U12" s="112"/>
      <c r="V12" s="112"/>
      <c r="W12" s="112"/>
    </row>
    <row r="13" spans="1:23" x14ac:dyDescent="0.2">
      <c r="A13" s="110">
        <v>4</v>
      </c>
      <c r="B13" s="115">
        <f>A13^3*Sheet!$D$75/2*Sheet!$D$7^2/4*PI()*Sheet!$D$76/100</f>
        <v>389.50722356267687</v>
      </c>
      <c r="C13" s="115">
        <f>(Sheet!$D$41^4*Sheet!$D$32^2*Sheet!$F$25^2*(Sheet!$D$5*60*Dreieck!A13/(PI()*Sheet!$D$7))^2*Sheet!$D$13*0.001*Sheet!$D$11*2*Sheet!$F$37*Sheet!$D$43*PI())/(144*10^8*Sheet!$D$65)</f>
        <v>67.528605274502169</v>
      </c>
      <c r="D13" s="115">
        <f t="shared" si="0"/>
        <v>321.97861828817469</v>
      </c>
      <c r="E13" s="115">
        <f t="shared" si="4"/>
        <v>600</v>
      </c>
      <c r="F13" s="117">
        <f>(-Sheet!$D$29+SQRT(Sheet!$D$29^2+4*Sheet!$F$69*D13))/(2*Sheet!$F$69)</f>
        <v>0.53185560717343883</v>
      </c>
      <c r="G13" s="115">
        <f>F13^2*Sheet!$F$69</f>
        <v>2.8652539841099625</v>
      </c>
      <c r="H13" s="115">
        <f>F13*Sheet!$D$77</f>
        <v>0.63822672860812657</v>
      </c>
      <c r="I13" s="115">
        <f t="shared" si="1"/>
        <v>3.5034807127180891</v>
      </c>
      <c r="J13" s="115">
        <f t="shared" si="2"/>
        <v>318.47513757545659</v>
      </c>
      <c r="K13" s="115">
        <f t="shared" si="3"/>
        <v>81.927457310098831</v>
      </c>
      <c r="L13" s="110">
        <f>J13/(B13/Sheet!$D$76)</f>
        <v>28.617260838417646</v>
      </c>
      <c r="N13" s="140"/>
      <c r="U13" s="112"/>
      <c r="V13" s="112"/>
      <c r="W13" s="112"/>
    </row>
    <row r="14" spans="1:23" x14ac:dyDescent="0.2">
      <c r="A14" s="110">
        <v>4.5</v>
      </c>
      <c r="B14" s="115">
        <f>A14^3*Sheet!$D$75/2*Sheet!$D$7^2/4*PI()*Sheet!$D$76/100</f>
        <v>554.59133979920216</v>
      </c>
      <c r="C14" s="115">
        <f>(Sheet!$D$41^4*Sheet!$D$32^2*Sheet!$F$25^2*(Sheet!$D$5*60*Dreieck!A14/(PI()*Sheet!$D$7))^2*Sheet!$D$13*0.001*Sheet!$D$11*2*Sheet!$F$37*Sheet!$D$43*PI())/(144*10^8*Sheet!$D$65)</f>
        <v>85.465891050541799</v>
      </c>
      <c r="D14" s="115">
        <f t="shared" si="0"/>
        <v>469.12544874866035</v>
      </c>
      <c r="E14" s="115">
        <f t="shared" si="4"/>
        <v>600</v>
      </c>
      <c r="F14" s="117">
        <f>(-Sheet!$D$29+SQRT(Sheet!$D$29^2+4*Sheet!$F$69*D14))/(2*Sheet!$F$69)</f>
        <v>0.77181905061870959</v>
      </c>
      <c r="G14" s="115">
        <f>F14^2*Sheet!$F$69</f>
        <v>6.034018377435431</v>
      </c>
      <c r="H14" s="115">
        <f>F14*Sheet!$D$77</f>
        <v>0.92618286074245149</v>
      </c>
      <c r="I14" s="115">
        <f t="shared" si="1"/>
        <v>6.9602012381778824</v>
      </c>
      <c r="J14" s="115">
        <f t="shared" si="2"/>
        <v>462.16524751048246</v>
      </c>
      <c r="K14" s="115">
        <f t="shared" si="3"/>
        <v>83.501381492703203</v>
      </c>
      <c r="L14" s="110">
        <f>J14/(B14/Sheet!$D$76)</f>
        <v>29.167032555401178</v>
      </c>
      <c r="N14" s="140"/>
      <c r="U14" s="112"/>
      <c r="V14" s="112"/>
      <c r="W14" s="112"/>
    </row>
    <row r="15" spans="1:23" x14ac:dyDescent="0.2">
      <c r="A15" s="110">
        <v>5</v>
      </c>
      <c r="B15" s="115">
        <f>A15^3*Sheet!$D$75/2*Sheet!$D$7^2/4*PI()*Sheet!$D$76/100</f>
        <v>760.75629602085337</v>
      </c>
      <c r="C15" s="115">
        <f>(Sheet!$D$41^4*Sheet!$D$32^2*Sheet!$F$25^2*(Sheet!$D$5*60*Dreieck!A15/(PI()*Sheet!$D$7))^2*Sheet!$D$13*0.001*Sheet!$D$11*2*Sheet!$F$37*Sheet!$D$43*PI())/(144*10^8*Sheet!$D$65)</f>
        <v>105.51344574140965</v>
      </c>
      <c r="D15" s="115">
        <f t="shared" si="0"/>
        <v>655.2428502794437</v>
      </c>
      <c r="E15" s="115">
        <f t="shared" si="4"/>
        <v>600</v>
      </c>
      <c r="F15" s="117">
        <f>(-Sheet!$D$29+SQRT(Sheet!$D$29^2+4*Sheet!$F$69*D15))/(2*Sheet!$F$69)</f>
        <v>1.0726474299277509</v>
      </c>
      <c r="G15" s="115">
        <f>F15^2*Sheet!$F$69</f>
        <v>11.654392322792186</v>
      </c>
      <c r="H15" s="115">
        <f>F15*Sheet!$D$77</f>
        <v>1.2871769159133011</v>
      </c>
      <c r="I15" s="115">
        <f t="shared" si="1"/>
        <v>12.941569238705487</v>
      </c>
      <c r="J15" s="115">
        <f t="shared" si="2"/>
        <v>642.30128104073822</v>
      </c>
      <c r="K15" s="115">
        <f t="shared" si="3"/>
        <v>84.598505634846404</v>
      </c>
      <c r="L15" s="110">
        <f>J15/(B15/Sheet!$D$76)</f>
        <v>29.550258018251903</v>
      </c>
      <c r="N15" s="140"/>
      <c r="U15" s="112"/>
      <c r="V15" s="112"/>
      <c r="W15" s="112"/>
    </row>
    <row r="16" spans="1:23" x14ac:dyDescent="0.2">
      <c r="A16" s="110">
        <v>5.5</v>
      </c>
      <c r="B16" s="115">
        <f>A16^3*Sheet!$D$75/2*Sheet!$D$7^2/4*PI()*Sheet!$D$76/100</f>
        <v>1012.5666300037556</v>
      </c>
      <c r="C16" s="115">
        <f>(Sheet!$D$41^4*Sheet!$D$32^2*Sheet!$F$25^2*(Sheet!$D$5*60*Dreieck!A16/(PI()*Sheet!$D$7))^2*Sheet!$D$13*0.001*Sheet!$D$11*2*Sheet!$F$37*Sheet!$D$43*PI())/(144*10^8*Sheet!$D$65)</f>
        <v>127.67126934710566</v>
      </c>
      <c r="D16" s="115">
        <f t="shared" si="0"/>
        <v>884.89536065664993</v>
      </c>
      <c r="E16" s="115">
        <f t="shared" si="4"/>
        <v>600</v>
      </c>
      <c r="F16" s="117">
        <f>(-Sheet!$D$29+SQRT(Sheet!$D$29^2+4*Sheet!$F$69*D16))/(2*Sheet!$F$69)</f>
        <v>1.4398274356616174</v>
      </c>
      <c r="G16" s="115">
        <f>F16^2*Sheet!$F$69</f>
        <v>20.998899259679348</v>
      </c>
      <c r="H16" s="115">
        <f>F16*Sheet!$D$77</f>
        <v>1.7277929227939408</v>
      </c>
      <c r="I16" s="115">
        <f t="shared" si="1"/>
        <v>22.72669218247329</v>
      </c>
      <c r="J16" s="115">
        <f t="shared" si="2"/>
        <v>862.16866847417668</v>
      </c>
      <c r="K16" s="115">
        <f t="shared" si="3"/>
        <v>85.317492775143734</v>
      </c>
      <c r="L16" s="110">
        <f>J16/(B16/Sheet!$D$76)</f>
        <v>29.80140022635771</v>
      </c>
      <c r="N16" s="140"/>
      <c r="U16" s="112"/>
      <c r="V16" s="112"/>
      <c r="W16" s="112"/>
    </row>
    <row r="17" spans="1:23" x14ac:dyDescent="0.2">
      <c r="A17" s="110">
        <v>6</v>
      </c>
      <c r="B17" s="115">
        <f>A17^3*Sheet!$D$75/2*Sheet!$D$7^2/4*PI()*Sheet!$D$76/100</f>
        <v>1314.5868795240344</v>
      </c>
      <c r="C17" s="115">
        <f>(Sheet!$D$41^4*Sheet!$D$32^2*Sheet!$F$25^2*(Sheet!$D$5*60*Dreieck!A17/(PI()*Sheet!$D$7))^2*Sheet!$D$13*0.001*Sheet!$D$11*2*Sheet!$F$37*Sheet!$D$43*PI())/(144*10^8*Sheet!$D$65)</f>
        <v>151.93936186762988</v>
      </c>
      <c r="D17" s="115">
        <f t="shared" si="0"/>
        <v>1162.6475176564045</v>
      </c>
      <c r="E17" s="115">
        <f t="shared" si="4"/>
        <v>600</v>
      </c>
      <c r="F17" s="117">
        <f>(-Sheet!$D$29+SQRT(Sheet!$D$29^2+4*Sheet!$F$69*D17))/(2*Sheet!$F$69)</f>
        <v>1.8781927186066898</v>
      </c>
      <c r="G17" s="115">
        <f>F17^2*Sheet!$F$69</f>
        <v>35.731886492392775</v>
      </c>
      <c r="H17" s="115">
        <f>F17*Sheet!$D$77</f>
        <v>2.2538312623280277</v>
      </c>
      <c r="I17" s="115">
        <f t="shared" si="1"/>
        <v>37.985717754720802</v>
      </c>
      <c r="J17" s="115">
        <f t="shared" si="2"/>
        <v>1124.6617999016837</v>
      </c>
      <c r="K17" s="115">
        <f t="shared" si="3"/>
        <v>85.723937209234151</v>
      </c>
      <c r="L17" s="110">
        <f>J17/(B17/Sheet!$D$76)</f>
        <v>29.94337126718543</v>
      </c>
      <c r="N17" s="140"/>
      <c r="U17" s="112"/>
      <c r="V17" s="112"/>
      <c r="W17" s="112"/>
    </row>
    <row r="18" spans="1:23" x14ac:dyDescent="0.2">
      <c r="A18" s="110">
        <v>6.5</v>
      </c>
      <c r="B18" s="115">
        <f>A18^3*Sheet!$D$75/2*Sheet!$D$7^2/4*PI()*Sheet!$D$76/100</f>
        <v>1671.3815823578148</v>
      </c>
      <c r="C18" s="115">
        <f>(Sheet!$D$41^4*Sheet!$D$32^2*Sheet!$F$25^2*(Sheet!$D$5*60*Dreieck!A18/(PI()*Sheet!$D$7))^2*Sheet!$D$13*0.001*Sheet!$D$11*2*Sheet!$F$37*Sheet!$D$43*PI())/(144*10^8*Sheet!$D$65)</f>
        <v>178.3177233029823</v>
      </c>
      <c r="D18" s="115">
        <f t="shared" si="0"/>
        <v>1493.0638590548324</v>
      </c>
      <c r="E18" s="115">
        <f t="shared" si="4"/>
        <v>600</v>
      </c>
      <c r="F18" s="117">
        <f>(-Sheet!$D$29+SQRT(Sheet!$D$29^2+4*Sheet!$F$69*D18))/(2*Sheet!$F$69)</f>
        <v>2.3918579922150909</v>
      </c>
      <c r="G18" s="115">
        <f>F18^2*Sheet!$F$69</f>
        <v>57.949063725778664</v>
      </c>
      <c r="H18" s="115">
        <f>F18*Sheet!$D$77</f>
        <v>2.8702295906581088</v>
      </c>
      <c r="I18" s="115">
        <f t="shared" si="1"/>
        <v>60.81929331643677</v>
      </c>
      <c r="J18" s="115">
        <f t="shared" si="2"/>
        <v>1432.2445657383955</v>
      </c>
      <c r="K18" s="115">
        <f t="shared" si="3"/>
        <v>85.863982855700783</v>
      </c>
      <c r="L18" s="110">
        <f>J18/(B18/Sheet!$D$76)</f>
        <v>29.992289211496264</v>
      </c>
      <c r="N18" s="140"/>
      <c r="U18" s="112"/>
      <c r="V18" s="112"/>
      <c r="W18" s="112"/>
    </row>
    <row r="19" spans="1:23" x14ac:dyDescent="0.2">
      <c r="A19" s="110">
        <v>7</v>
      </c>
      <c r="B19" s="115">
        <f>A19^3*Sheet!$D$75/2*Sheet!$D$7^2/4*PI()*Sheet!$D$76/100</f>
        <v>2087.5152762812218</v>
      </c>
      <c r="C19" s="115">
        <f>(Sheet!$D$41^4*Sheet!$D$32^2*Sheet!$F$25^2*(Sheet!$D$5*60*Dreieck!A19/(PI()*Sheet!$D$7))^2*Sheet!$D$13*0.001*Sheet!$D$11*2*Sheet!$F$37*Sheet!$D$43*PI())/(144*10^8*Sheet!$D$65)</f>
        <v>206.80635365316292</v>
      </c>
      <c r="D19" s="115">
        <f t="shared" si="0"/>
        <v>1880.7089226280589</v>
      </c>
      <c r="E19" s="115">
        <f t="shared" si="4"/>
        <v>600</v>
      </c>
      <c r="F19" s="117">
        <f>(-Sheet!$D$29+SQRT(Sheet!$D$29^2+4*Sheet!$F$69*D19))/(2*Sheet!$F$69)</f>
        <v>2.9841753797898849</v>
      </c>
      <c r="G19" s="115">
        <f>F19^2*Sheet!$F$69</f>
        <v>90.20369475412781</v>
      </c>
      <c r="H19" s="115">
        <f>F19*Sheet!$D$77</f>
        <v>3.5810104557478617</v>
      </c>
      <c r="I19" s="115">
        <f t="shared" si="1"/>
        <v>93.784705209875668</v>
      </c>
      <c r="J19" s="115">
        <f t="shared" si="2"/>
        <v>1786.9242174181832</v>
      </c>
      <c r="K19" s="115">
        <f t="shared" si="3"/>
        <v>85.772077848627973</v>
      </c>
      <c r="L19" s="110">
        <f>J19/(B19/Sheet!$D$76)</f>
        <v>29.960186792525754</v>
      </c>
      <c r="N19" s="140"/>
      <c r="U19" s="112"/>
      <c r="V19" s="112"/>
      <c r="W19" s="112"/>
    </row>
    <row r="20" spans="1:23" x14ac:dyDescent="0.2">
      <c r="A20" s="110">
        <v>7.5</v>
      </c>
      <c r="B20" s="115">
        <f>A20^3*Sheet!$D$75/2*Sheet!$D$7^2/4*PI()*Sheet!$D$76/100</f>
        <v>2567.5524990703798</v>
      </c>
      <c r="C20" s="115">
        <f>(Sheet!$D$41^4*Sheet!$D$32^2*Sheet!$F$25^2*(Sheet!$D$5*60*Dreieck!A20/(PI()*Sheet!$D$7))^2*Sheet!$D$13*0.001*Sheet!$D$11*2*Sheet!$F$37*Sheet!$D$43*PI())/(144*10^8*Sheet!$D$65)</f>
        <v>237.40525291817167</v>
      </c>
      <c r="D20" s="115">
        <f t="shared" si="0"/>
        <v>2330.147246152208</v>
      </c>
      <c r="E20" s="115">
        <f t="shared" si="4"/>
        <v>600</v>
      </c>
      <c r="F20" s="117">
        <f>(-Sheet!$D$29+SQRT(Sheet!$D$29^2+4*Sheet!$F$69*D20))/(2*Sheet!$F$69)</f>
        <v>3.6577161133680192</v>
      </c>
      <c r="G20" s="115">
        <f>F20^2*Sheet!$F$69</f>
        <v>135.51757813139642</v>
      </c>
      <c r="H20" s="115">
        <f>F20*Sheet!$D$77</f>
        <v>4.389259336041623</v>
      </c>
      <c r="I20" s="115">
        <f t="shared" si="1"/>
        <v>139.90683746743804</v>
      </c>
      <c r="J20" s="115">
        <f t="shared" si="2"/>
        <v>2190.24040868477</v>
      </c>
      <c r="K20" s="115">
        <f t="shared" si="3"/>
        <v>85.475551865654538</v>
      </c>
      <c r="L20" s="110">
        <f>J20/(B20/Sheet!$D$76)</f>
        <v>29.856610266673126</v>
      </c>
      <c r="N20" s="140"/>
      <c r="U20" s="112"/>
      <c r="V20" s="112"/>
      <c r="W20" s="112"/>
    </row>
    <row r="21" spans="1:23" x14ac:dyDescent="0.2">
      <c r="A21" s="110">
        <v>8</v>
      </c>
      <c r="B21" s="115">
        <f>A21^3*Sheet!$D$75/2*Sheet!$D$7^2/4*PI()*Sheet!$D$76/100</f>
        <v>3116.057788501415</v>
      </c>
      <c r="C21" s="115">
        <f>(Sheet!$D$41^4*Sheet!$D$32^2*Sheet!$F$25^2*(Sheet!$D$5*60*Dreieck!A21/(PI()*Sheet!$D$7))^2*Sheet!$D$13*0.001*Sheet!$D$11*2*Sheet!$F$37*Sheet!$D$43*PI())/(144*10^8*Sheet!$D$65)</f>
        <v>270.11442109800868</v>
      </c>
      <c r="D21" s="115">
        <f t="shared" si="0"/>
        <v>2845.9433674034062</v>
      </c>
      <c r="E21" s="115">
        <f t="shared" si="4"/>
        <v>600</v>
      </c>
      <c r="F21" s="117">
        <f>(-Sheet!$D$29+SQRT(Sheet!$D$29^2+4*Sheet!$F$69*D21))/(2*Sheet!$F$69)</f>
        <v>4.4142783891321953</v>
      </c>
      <c r="G21" s="115">
        <f>F21^2*Sheet!$F$69</f>
        <v>197.37633392409006</v>
      </c>
      <c r="H21" s="115">
        <f>F21*Sheet!$D$77</f>
        <v>5.297134066958634</v>
      </c>
      <c r="I21" s="115">
        <f t="shared" si="1"/>
        <v>202.67346799104871</v>
      </c>
      <c r="J21" s="115">
        <f t="shared" si="2"/>
        <v>2643.2698994123575</v>
      </c>
      <c r="K21" s="115">
        <f t="shared" si="3"/>
        <v>84.997365685989891</v>
      </c>
      <c r="L21" s="110">
        <f>J21/(B21/Sheet!$D$76)</f>
        <v>29.689579834116255</v>
      </c>
      <c r="N21" s="140"/>
      <c r="U21" s="112"/>
      <c r="V21" s="112"/>
      <c r="W21" s="112"/>
    </row>
    <row r="22" spans="1:23" x14ac:dyDescent="0.2">
      <c r="A22" s="110">
        <v>8.5</v>
      </c>
      <c r="B22" s="115">
        <f>A22^3*Sheet!$D$75/2*Sheet!$D$7^2/4*PI()*Sheet!$D$76/100</f>
        <v>3737.5956823504516</v>
      </c>
      <c r="C22" s="115">
        <f>(Sheet!$D$41^4*Sheet!$D$32^2*Sheet!$F$25^2*(Sheet!$D$5*60*Dreieck!A22/(PI()*Sheet!$D$7))^2*Sheet!$D$13*0.001*Sheet!$D$11*2*Sheet!$F$37*Sheet!$D$43*PI())/(144*10^8*Sheet!$D$65)</f>
        <v>304.93385819267388</v>
      </c>
      <c r="D22" s="115">
        <f t="shared" si="0"/>
        <v>3432.6618241577776</v>
      </c>
      <c r="E22" s="115">
        <f t="shared" si="4"/>
        <v>600</v>
      </c>
      <c r="F22" s="117">
        <f>(-Sheet!$D$29+SQRT(Sheet!$D$29^2+4*Sheet!$F$69*D22))/(2*Sheet!$F$69)</f>
        <v>5.2549198741907048</v>
      </c>
      <c r="G22" s="115">
        <f>F22^2*Sheet!$F$69</f>
        <v>279.70989964335649</v>
      </c>
      <c r="H22" s="115">
        <f>F22*Sheet!$D$77</f>
        <v>6.3059038490288453</v>
      </c>
      <c r="I22" s="115">
        <f t="shared" si="1"/>
        <v>286.01580349238532</v>
      </c>
      <c r="J22" s="115">
        <f t="shared" si="2"/>
        <v>3146.6460206653924</v>
      </c>
      <c r="K22" s="115">
        <f t="shared" si="3"/>
        <v>84.357758101101894</v>
      </c>
      <c r="L22" s="110">
        <f>J22/(B22/Sheet!$D$76)</f>
        <v>29.46616490471488</v>
      </c>
      <c r="N22" s="140"/>
      <c r="U22" s="112"/>
      <c r="V22" s="112"/>
      <c r="W22" s="112"/>
    </row>
    <row r="23" spans="1:23" x14ac:dyDescent="0.2">
      <c r="A23" s="110">
        <v>9</v>
      </c>
      <c r="B23" s="115">
        <f>A23^3*Sheet!$D$75/2*Sheet!$D$7^2/4*PI()*Sheet!$D$76/100</f>
        <v>4436.7307183936173</v>
      </c>
      <c r="C23" s="115">
        <f>(Sheet!$D$41^4*Sheet!$D$32^2*Sheet!$F$25^2*(Sheet!$D$5*60*Dreieck!A23/(PI()*Sheet!$D$7))^2*Sheet!$D$13*0.001*Sheet!$D$11*2*Sheet!$F$37*Sheet!$D$43*PI())/(144*10^8*Sheet!$D$65)</f>
        <v>341.8635642021672</v>
      </c>
      <c r="D23" s="115">
        <f t="shared" si="0"/>
        <v>4094.86715419145</v>
      </c>
      <c r="E23" s="115">
        <f t="shared" si="4"/>
        <v>600</v>
      </c>
      <c r="F23" s="117">
        <f>(-Sheet!$D$29+SQRT(Sheet!$D$29^2+4*Sheet!$F$69*D23))/(2*Sheet!$F$69)</f>
        <v>6.1800113841847981</v>
      </c>
      <c r="G23" s="115">
        <f>F23^2*Sheet!$F$69</f>
        <v>386.86032368057067</v>
      </c>
      <c r="H23" s="115">
        <f>F23*Sheet!$D$77</f>
        <v>7.4160136610217577</v>
      </c>
      <c r="I23" s="115">
        <f t="shared" si="1"/>
        <v>394.27633734159241</v>
      </c>
      <c r="J23" s="115">
        <f>IF(I23&gt;0,D23-I23,0)</f>
        <v>3700.5908168498577</v>
      </c>
      <c r="K23" s="115">
        <f t="shared" si="3"/>
        <v>83.575205841057141</v>
      </c>
      <c r="L23" s="110">
        <f>J23/(B23/Sheet!$D$76)</f>
        <v>29.192819400281262</v>
      </c>
      <c r="N23" s="140"/>
      <c r="U23" s="112"/>
      <c r="V23" s="112"/>
      <c r="W23" s="112"/>
    </row>
    <row r="24" spans="1:23" x14ac:dyDescent="0.2">
      <c r="A24" s="110">
        <v>9.5</v>
      </c>
      <c r="B24" s="115">
        <f>A24^3*Sheet!$D$75/2*Sheet!$D$7^2/4*PI()*Sheet!$D$76/100</f>
        <v>5218.027434407034</v>
      </c>
      <c r="C24" s="115">
        <f>(Sheet!$D$41^4*Sheet!$D$32^2*Sheet!$F$25^2*(Sheet!$D$5*60*Dreieck!A24/(PI()*Sheet!$D$7))^2*Sheet!$D$13*0.001*Sheet!$D$11*2*Sheet!$F$37*Sheet!$D$43*PI())/(144*10^8*Sheet!$D$65)</f>
        <v>380.90353912648879</v>
      </c>
      <c r="D24" s="115">
        <f t="shared" si="0"/>
        <v>4837.1238952805452</v>
      </c>
      <c r="E24" s="115">
        <f t="shared" si="4"/>
        <v>600</v>
      </c>
      <c r="F24" s="117">
        <f>(-Sheet!$D$29+SQRT(Sheet!$D$29^2+4*Sheet!$F$69*D24))/(2*Sheet!$F$69)</f>
        <v>7.1893068649641556</v>
      </c>
      <c r="G24" s="115">
        <f>F24^2*Sheet!$F$69</f>
        <v>523.53977630205031</v>
      </c>
      <c r="H24" s="115">
        <f>F24*Sheet!$D$77</f>
        <v>8.6271682379569867</v>
      </c>
      <c r="I24" s="115">
        <f t="shared" si="1"/>
        <v>532.16694454000731</v>
      </c>
      <c r="J24" s="115">
        <f t="shared" si="2"/>
        <v>4304.9569507405376</v>
      </c>
      <c r="K24" s="115">
        <f t="shared" si="3"/>
        <v>82.66694978518602</v>
      </c>
      <c r="L24" s="110">
        <f>J24/(B24/Sheet!$D$76)</f>
        <v>28.875565559965487</v>
      </c>
      <c r="N24" s="140"/>
      <c r="U24" s="112"/>
      <c r="V24" s="112"/>
      <c r="W24" s="112"/>
    </row>
    <row r="25" spans="1:23" x14ac:dyDescent="0.2">
      <c r="A25" s="110">
        <v>10</v>
      </c>
      <c r="B25" s="115">
        <f>A25^3*Sheet!$D$75/2*Sheet!$D$7^2/4*PI()*Sheet!$D$76/100</f>
        <v>6086.050368166827</v>
      </c>
      <c r="C25" s="115">
        <f>(Sheet!$D$41^4*Sheet!$D$32^2*Sheet!$F$25^2*(Sheet!$D$5*60*Dreieck!A25/(PI()*Sheet!$D$7))^2*Sheet!$D$13*0.001*Sheet!$D$11*2*Sheet!$F$37*Sheet!$D$43*PI())/(144*10^8*Sheet!$D$65)</f>
        <v>422.05378296563862</v>
      </c>
      <c r="D25" s="115">
        <f t="shared" si="0"/>
        <v>5663.9965852011883</v>
      </c>
      <c r="E25" s="115">
        <f t="shared" si="4"/>
        <v>600</v>
      </c>
      <c r="F25" s="117">
        <f>(-Sheet!$D$29+SQRT(Sheet!$D$29^2+4*Sheet!$F$69*D25))/(2*Sheet!$F$69)</f>
        <v>8.2820241338323157</v>
      </c>
      <c r="G25" s="115">
        <f>F25^2*Sheet!$F$69</f>
        <v>694.78210490179652</v>
      </c>
      <c r="H25" s="115">
        <f>F25*Sheet!$D$77</f>
        <v>9.9384289605987792</v>
      </c>
      <c r="I25" s="115">
        <f t="shared" si="1"/>
        <v>704.72053386239531</v>
      </c>
      <c r="J25" s="115">
        <f t="shared" si="2"/>
        <v>4959.276051338793</v>
      </c>
      <c r="K25" s="115">
        <f t="shared" si="3"/>
        <v>81.6492500011327</v>
      </c>
      <c r="L25" s="110">
        <f>J25/(B25/Sheet!$D$76)</f>
        <v>28.520083025395667</v>
      </c>
      <c r="N25" s="140"/>
      <c r="U25" s="112"/>
      <c r="V25" s="112"/>
      <c r="W25" s="112"/>
    </row>
    <row r="26" spans="1:23" x14ac:dyDescent="0.2">
      <c r="A26" s="110">
        <v>10.5</v>
      </c>
      <c r="B26" s="115">
        <f>A26^3*Sheet!$D$75/2*Sheet!$D$7^2/4*PI()*Sheet!$D$76/100</f>
        <v>7045.3640574491219</v>
      </c>
      <c r="C26" s="115">
        <f>(Sheet!$D$41^4*Sheet!$D$32^2*Sheet!$F$25^2*(Sheet!$D$5*60*Dreieck!A26/(PI()*Sheet!$D$7))^2*Sheet!$D$13*0.001*Sheet!$D$11*2*Sheet!$F$37*Sheet!$D$43*PI())/(144*10^8*Sheet!$D$65)</f>
        <v>465.31429571961655</v>
      </c>
      <c r="D26" s="115">
        <f t="shared" si="0"/>
        <v>6580.049761729505</v>
      </c>
      <c r="E26" s="115">
        <f t="shared" si="4"/>
        <v>600</v>
      </c>
      <c r="F26" s="117">
        <f>(-Sheet!$D$29+SQRT(Sheet!$D$29^2+4*Sheet!$F$69*D26))/(2*Sheet!$F$69)</f>
        <v>9.4569308450647931</v>
      </c>
      <c r="G26" s="115">
        <f>F26^2*Sheet!$F$69</f>
        <v>905.89125469062799</v>
      </c>
      <c r="H26" s="115">
        <f>F26*Sheet!$D$77</f>
        <v>11.348317014077752</v>
      </c>
      <c r="I26" s="115">
        <f t="shared" si="1"/>
        <v>917.23957170470578</v>
      </c>
      <c r="J26" s="115">
        <f t="shared" si="2"/>
        <v>5662.8101900247993</v>
      </c>
      <c r="K26" s="115">
        <f t="shared" si="3"/>
        <v>80.537477705492606</v>
      </c>
      <c r="L26" s="110">
        <f>J26/(B26/Sheet!$D$76)</f>
        <v>28.131740962528575</v>
      </c>
      <c r="N26" s="140"/>
      <c r="U26" s="112"/>
      <c r="V26" s="112"/>
      <c r="W26" s="112"/>
    </row>
    <row r="27" spans="1:23" x14ac:dyDescent="0.2">
      <c r="A27" s="110">
        <v>11</v>
      </c>
      <c r="B27" s="115">
        <f>A27^3*Sheet!$D$75/2*Sheet!$D$7^2/4*PI()*Sheet!$D$76/100</f>
        <v>8100.5330400300445</v>
      </c>
      <c r="C27" s="115">
        <f>(Sheet!$D$41^4*Sheet!$D$32^2*Sheet!$F$25^2*(Sheet!$D$5*60*Dreieck!A27/(PI()*Sheet!$D$7))^2*Sheet!$D$13*0.001*Sheet!$D$11*2*Sheet!$F$37*Sheet!$D$43*PI())/(144*10^8*Sheet!$D$65)</f>
        <v>510.68507738842266</v>
      </c>
      <c r="D27" s="115">
        <f t="shared" si="0"/>
        <v>7589.847962641622</v>
      </c>
      <c r="E27" s="115">
        <f t="shared" si="4"/>
        <v>600</v>
      </c>
      <c r="F27" s="117">
        <f>(-Sheet!$D$29+SQRT(Sheet!$D$29^2+4*Sheet!$F$69*D27))/(2*Sheet!$F$69)</f>
        <v>10.712430708810734</v>
      </c>
      <c r="G27" s="115">
        <f>F27^2*Sheet!$F$69</f>
        <v>1162.3895373551827</v>
      </c>
      <c r="H27" s="115">
        <f>F27*Sheet!$D$77</f>
        <v>12.854916850572881</v>
      </c>
      <c r="I27" s="115">
        <f t="shared" si="1"/>
        <v>1175.2444542057556</v>
      </c>
      <c r="J27" s="115">
        <f t="shared" si="2"/>
        <v>6414.6035084358664</v>
      </c>
      <c r="K27" s="115">
        <f t="shared" si="3"/>
        <v>79.346117021239891</v>
      </c>
      <c r="L27" s="110">
        <f>J27/(B27/Sheet!$D$76)</f>
        <v>27.71559867551909</v>
      </c>
      <c r="N27" s="140"/>
      <c r="U27" s="112"/>
      <c r="V27" s="112"/>
      <c r="W27" s="112"/>
    </row>
    <row r="28" spans="1:23" x14ac:dyDescent="0.2">
      <c r="A28" s="110">
        <v>11.5</v>
      </c>
      <c r="B28" s="115">
        <f>A28^3*Sheet!$D$75/2*Sheet!$D$7^2/4*PI()*Sheet!$D$76/100</f>
        <v>9256.1218536857232</v>
      </c>
      <c r="C28" s="115">
        <f>(Sheet!$D$41^4*Sheet!$D$32^2*Sheet!$F$25^2*(Sheet!$D$5*60*Dreieck!A28/(PI()*Sheet!$D$7))^2*Sheet!$D$13*0.001*Sheet!$D$11*2*Sheet!$F$37*Sheet!$D$43*PI())/(144*10^8*Sheet!$D$65)</f>
        <v>558.1661279720571</v>
      </c>
      <c r="D28" s="115">
        <f t="shared" si="0"/>
        <v>8697.9557257136657</v>
      </c>
      <c r="E28" s="115">
        <f t="shared" si="4"/>
        <v>600</v>
      </c>
      <c r="F28" s="117">
        <f>(-Sheet!$D$29+SQRT(Sheet!$D$29^2+4*Sheet!$F$69*D28))/(2*Sheet!$F$69)</f>
        <v>12.046645920653582</v>
      </c>
      <c r="G28" s="115">
        <f>F28^2*Sheet!$F$69</f>
        <v>1469.9681733215155</v>
      </c>
      <c r="H28" s="115">
        <f>F28*Sheet!$D$77</f>
        <v>14.455975104784297</v>
      </c>
      <c r="I28" s="115">
        <f t="shared" si="1"/>
        <v>1484.4241484262998</v>
      </c>
      <c r="J28" s="115">
        <f t="shared" si="2"/>
        <v>7213.5315772873655</v>
      </c>
      <c r="K28" s="115">
        <f t="shared" si="3"/>
        <v>78.088725133993506</v>
      </c>
      <c r="L28" s="110">
        <f>J28/(B28/Sheet!$D$76)</f>
        <v>27.276391689303935</v>
      </c>
      <c r="N28" s="140"/>
      <c r="U28" s="112"/>
      <c r="V28" s="112"/>
      <c r="W28" s="112"/>
    </row>
    <row r="29" spans="1:23" x14ac:dyDescent="0.2">
      <c r="A29" s="110">
        <v>12</v>
      </c>
      <c r="B29" s="115">
        <f>A29^3*Sheet!$D$75/2*Sheet!$D$7^2/4*PI()*Sheet!$D$76/100</f>
        <v>10516.695036192275</v>
      </c>
      <c r="C29" s="115">
        <f>(Sheet!$D$41^4*Sheet!$D$32^2*Sheet!$F$25^2*(Sheet!$D$5*60*Dreieck!A29/(PI()*Sheet!$D$7))^2*Sheet!$D$13*0.001*Sheet!$D$11*2*Sheet!$F$37*Sheet!$D$43*PI())/(144*10^8*Sheet!$D$65)</f>
        <v>607.75744747051954</v>
      </c>
      <c r="D29" s="115">
        <f t="shared" si="0"/>
        <v>9908.9375887217557</v>
      </c>
      <c r="E29" s="115">
        <f t="shared" si="4"/>
        <v>600</v>
      </c>
      <c r="F29" s="117">
        <f>(-Sheet!$D$29+SQRT(Sheet!$D$29^2+4*Sheet!$F$69*D29))/(2*Sheet!$F$69)</f>
        <v>13.457492851295344</v>
      </c>
      <c r="G29" s="115">
        <f>F29^2*Sheet!$F$69</f>
        <v>1834.4418779445509</v>
      </c>
      <c r="H29" s="115">
        <f>F29*Sheet!$D$77</f>
        <v>16.148991421554413</v>
      </c>
      <c r="I29" s="115">
        <f t="shared" si="1"/>
        <v>1850.5908693661054</v>
      </c>
      <c r="J29" s="115">
        <f>IF(I29&gt;0,D29-I29,0)</f>
        <v>8058.3467193556498</v>
      </c>
      <c r="K29" s="115">
        <f t="shared" si="3"/>
        <v>76.777882053150194</v>
      </c>
      <c r="L29" s="110">
        <f>J29/(B29/Sheet!$D$76)</f>
        <v>26.818514201165353</v>
      </c>
      <c r="N29" s="140"/>
      <c r="U29" s="112"/>
      <c r="V29" s="112"/>
      <c r="W29" s="112"/>
    </row>
    <row r="30" spans="1:23" x14ac:dyDescent="0.2"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U30" s="112"/>
      <c r="V30" s="112"/>
      <c r="W30" s="112"/>
    </row>
    <row r="31" spans="1:23" x14ac:dyDescent="0.2">
      <c r="A31" s="1"/>
      <c r="C31" s="1"/>
      <c r="U31" s="112"/>
      <c r="V31" s="112"/>
      <c r="W31" s="112"/>
    </row>
    <row r="32" spans="1:23" x14ac:dyDescent="0.2">
      <c r="A32" s="1"/>
      <c r="C32" s="1"/>
    </row>
    <row r="33" spans="1:3" x14ac:dyDescent="0.2">
      <c r="A33" s="1"/>
      <c r="C33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</vt:lpstr>
      <vt:lpstr>Stern</vt:lpstr>
      <vt:lpstr>Dreieck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Ice-T</cp:lastModifiedBy>
  <dcterms:created xsi:type="dcterms:W3CDTF">2012-08-05T19:21:51Z</dcterms:created>
  <dcterms:modified xsi:type="dcterms:W3CDTF">2022-04-21T14:16:20Z</dcterms:modified>
</cp:coreProperties>
</file>