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60" windowWidth="16380" windowHeight="8130" tabRatio="657"/>
  </bookViews>
  <sheets>
    <sheet name="Sheet" sheetId="1" r:id="rId1"/>
    <sheet name="Stern" sheetId="8" r:id="rId2"/>
    <sheet name="Dreieck" sheetId="9" r:id="rId3"/>
  </sheets>
  <definedNames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0" localSheetId="0" hidden="1">Sheet!$G$34</definedName>
    <definedName name="solver_lhs1" localSheetId="0" hidden="1">Sheet!$D$16</definedName>
    <definedName name="solver_lhs10" localSheetId="0" hidden="1">Sheet!$D$41</definedName>
    <definedName name="solver_lhs11" localSheetId="0" hidden="1">Sheet!$D$41</definedName>
    <definedName name="solver_lhs12" localSheetId="0" hidden="1">Sheet!$D$43</definedName>
    <definedName name="solver_lhs13" localSheetId="0" hidden="1">Sheet!$D$43</definedName>
    <definedName name="solver_lhs14" localSheetId="0" hidden="1">Sheet!$D$43</definedName>
    <definedName name="solver_lhs15" localSheetId="0" hidden="1">Sheet!$F$18</definedName>
    <definedName name="solver_lhs16" localSheetId="0" hidden="1">Sheet!$F$18</definedName>
    <definedName name="solver_lhs17" localSheetId="0" hidden="1">Sheet!$F$47</definedName>
    <definedName name="solver_lhs18" localSheetId="0" hidden="1">Sheet!$G$23</definedName>
    <definedName name="solver_lhs19" localSheetId="0" hidden="1">Sheet!$G$23</definedName>
    <definedName name="solver_lhs2" localSheetId="0" hidden="1">Sheet!$D$29</definedName>
    <definedName name="solver_lhs20" localSheetId="0" hidden="1">Sheet!$G$32</definedName>
    <definedName name="solver_lhs21" localSheetId="0" hidden="1">Sheet!$G$32</definedName>
    <definedName name="solver_lhs22" localSheetId="0" hidden="1">Sheet!$G$32</definedName>
    <definedName name="solver_lhs23" localSheetId="0" hidden="1">Sheet!$G$34</definedName>
    <definedName name="solver_lhs24" localSheetId="0" hidden="1">Sheet!$G$34</definedName>
    <definedName name="solver_lhs25" localSheetId="0" hidden="1">Sheet!$G$34</definedName>
    <definedName name="solver_lhs26" localSheetId="0" hidden="1">Sheet!$G$34</definedName>
    <definedName name="solver_lhs27" localSheetId="0" hidden="1">Sheet!$G$34</definedName>
    <definedName name="solver_lhs28" localSheetId="0" hidden="1">Sheet!$G$34</definedName>
    <definedName name="solver_lhs29" localSheetId="0" hidden="1">Sheet!#REF!</definedName>
    <definedName name="solver_lhs3" localSheetId="0" hidden="1">Sheet!$D$29</definedName>
    <definedName name="solver_lhs30" localSheetId="0" hidden="1">Sheet!$G$34</definedName>
    <definedName name="solver_lhs31" localSheetId="0" hidden="1">Sheet!$H$11</definedName>
    <definedName name="solver_lhs32" localSheetId="0" hidden="1">Sheet!$H$11</definedName>
    <definedName name="solver_lhs33" localSheetId="0" hidden="1">Sheet!$H$11</definedName>
    <definedName name="solver_lhs34" localSheetId="0" hidden="1">Sheet!$H$11</definedName>
    <definedName name="solver_lhs4" localSheetId="0" hidden="1">Sheet!$D$30</definedName>
    <definedName name="solver_lhs5" localSheetId="0" hidden="1">Sheet!$D$30</definedName>
    <definedName name="solver_lhs6" localSheetId="0" hidden="1">Sheet!$D$30</definedName>
    <definedName name="solver_lhs7" localSheetId="0" hidden="1">Sheet!$D$31</definedName>
    <definedName name="solver_lhs8" localSheetId="0" hidden="1">Sheet!$D$31</definedName>
    <definedName name="solver_lhs9" localSheetId="0" hidden="1">Sheet!$D$31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bv" localSheetId="0" hidden="1">2</definedName>
    <definedName name="solver_rel0" localSheetId="0" hidden="1">1</definedName>
    <definedName name="solver_rel1" localSheetId="0" hidden="1">3</definedName>
    <definedName name="solver_rel10" localSheetId="0" hidden="1">1</definedName>
    <definedName name="solver_rel11" localSheetId="0" hidden="1">3</definedName>
    <definedName name="solver_rel12" localSheetId="0" hidden="1">1</definedName>
    <definedName name="solver_rel13" localSheetId="0" hidden="1">4</definedName>
    <definedName name="solver_rel14" localSheetId="0" hidden="1">3</definedName>
    <definedName name="solver_rel15" localSheetId="0" hidden="1">1</definedName>
    <definedName name="solver_rel16" localSheetId="0" hidden="1">3</definedName>
    <definedName name="solver_rel17" localSheetId="0" hidden="1">1</definedName>
    <definedName name="solver_rel18" localSheetId="0" hidden="1">1</definedName>
    <definedName name="solver_rel19" localSheetId="0" hidden="1">3</definedName>
    <definedName name="solver_rel2" localSheetId="0" hidden="1">1</definedName>
    <definedName name="solver_rel20" localSheetId="0" hidden="1">1</definedName>
    <definedName name="solver_rel21" localSheetId="0" hidden="1">4</definedName>
    <definedName name="solver_rel22" localSheetId="0" hidden="1">3</definedName>
    <definedName name="solver_rel23" localSheetId="0" hidden="1">1</definedName>
    <definedName name="solver_rel24" localSheetId="0" hidden="1">1</definedName>
    <definedName name="solver_rel25" localSheetId="0" hidden="1">1</definedName>
    <definedName name="solver_rel26" localSheetId="0" hidden="1">1</definedName>
    <definedName name="solver_rel27" localSheetId="0" hidden="1">1</definedName>
    <definedName name="solver_rel28" localSheetId="0" hidden="1">1</definedName>
    <definedName name="solver_rel29" localSheetId="0" hidden="1">1</definedName>
    <definedName name="solver_rel3" localSheetId="0" hidden="1">3</definedName>
    <definedName name="solver_rel30" localSheetId="0" hidden="1">1</definedName>
    <definedName name="solver_rel31" localSheetId="0" hidden="1">3</definedName>
    <definedName name="solver_rel32" localSheetId="0" hidden="1">3</definedName>
    <definedName name="solver_rel33" localSheetId="0" hidden="1">3</definedName>
    <definedName name="solver_rel34" localSheetId="0" hidden="1">3</definedName>
    <definedName name="solver_rel4" localSheetId="0" hidden="1">1</definedName>
    <definedName name="solver_rel5" localSheetId="0" hidden="1">4</definedName>
    <definedName name="solver_rel6" localSheetId="0" hidden="1">3</definedName>
    <definedName name="solver_rel7" localSheetId="0" hidden="1">1</definedName>
    <definedName name="solver_rel8" localSheetId="0" hidden="1">4</definedName>
    <definedName name="solver_rel9" localSheetId="0" hidden="1">3</definedName>
    <definedName name="solver_rhs0" localSheetId="0" hidden="1">Sheet!#REF!</definedName>
    <definedName name="solver_rhs1" localSheetId="0" hidden="1">Sheet!#REF!</definedName>
    <definedName name="solver_rhs10" localSheetId="0" hidden="1">Sheet!#REF!</definedName>
    <definedName name="solver_rhs11" localSheetId="0" hidden="1">Sheet!#REF!</definedName>
    <definedName name="solver_rhs12" localSheetId="0" hidden="1">Sheet!#REF!</definedName>
    <definedName name="solver_rhs13" localSheetId="0" hidden="1">Ganzzahlig</definedName>
    <definedName name="solver_rhs14" localSheetId="0" hidden="1">Sheet!#REF!</definedName>
    <definedName name="solver_rhs15" localSheetId="0" hidden="1">Sheet!#REF!</definedName>
    <definedName name="solver_rhs16" localSheetId="0" hidden="1">Sheet!#REF!</definedName>
    <definedName name="solver_rhs17" localSheetId="0" hidden="1">Sheet!#REF!</definedName>
    <definedName name="solver_rhs18" localSheetId="0" hidden="1">Sheet!#REF!</definedName>
    <definedName name="solver_rhs19" localSheetId="0" hidden="1">Sheet!#REF!</definedName>
    <definedName name="solver_rhs2" localSheetId="0" hidden="1">Sheet!#REF!</definedName>
    <definedName name="solver_rhs20" localSheetId="0" hidden="1">Sheet!#REF!</definedName>
    <definedName name="solver_rhs21" localSheetId="0" hidden="1">Ganzzahlig</definedName>
    <definedName name="solver_rhs22" localSheetId="0" hidden="1">Sheet!#REF!</definedName>
    <definedName name="solver_rhs23" localSheetId="0" hidden="1">Sheet!#REF!</definedName>
    <definedName name="solver_rhs24" localSheetId="0" hidden="1">Sheet!#REF!</definedName>
    <definedName name="solver_rhs25" localSheetId="0" hidden="1">Sheet!#REF!</definedName>
    <definedName name="solver_rhs26" localSheetId="0" hidden="1">Sheet!#REF!</definedName>
    <definedName name="solver_rhs27" localSheetId="0" hidden="1">Sheet!#REF!</definedName>
    <definedName name="solver_rhs28" localSheetId="0" hidden="1">Sheet!#REF!</definedName>
    <definedName name="solver_rhs29" localSheetId="0" hidden="1">Sheet!$G$42</definedName>
    <definedName name="solver_rhs3" localSheetId="0" hidden="1">Sheet!#REF!</definedName>
    <definedName name="solver_rhs30" localSheetId="0" hidden="1">Sheet!#REF!</definedName>
    <definedName name="solver_rhs31" localSheetId="0" hidden="1">Sheet!#REF!</definedName>
    <definedName name="solver_rhs32" localSheetId="0" hidden="1">Sheet!#REF!</definedName>
    <definedName name="solver_rhs33" localSheetId="0" hidden="1">Sheet!#REF!</definedName>
    <definedName name="solver_rhs34" localSheetId="0" hidden="1">Sheet!#REF!</definedName>
    <definedName name="solver_rhs4" localSheetId="0" hidden="1">Sheet!#REF!</definedName>
    <definedName name="solver_rhs5" localSheetId="0" hidden="1">Ganzzahlig</definedName>
    <definedName name="solver_rhs6" localSheetId="0" hidden="1">Sheet!#REF!</definedName>
    <definedName name="solver_rhs7" localSheetId="0" hidden="1">Sheet!#REF!</definedName>
    <definedName name="solver_rhs8" localSheetId="0" hidden="1">Ganzzahlig</definedName>
    <definedName name="solver_rhs9" localSheetId="0" hidden="1">Sheet!#REF!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K124" i="9" l="1"/>
  <c r="E124" i="9"/>
  <c r="B124" i="9"/>
  <c r="K123" i="9"/>
  <c r="E123" i="9"/>
  <c r="B123" i="9"/>
  <c r="K122" i="9"/>
  <c r="E122" i="9"/>
  <c r="B122" i="9"/>
  <c r="K121" i="9"/>
  <c r="E121" i="9"/>
  <c r="B121" i="9"/>
  <c r="K120" i="9"/>
  <c r="E120" i="9"/>
  <c r="B120" i="9"/>
  <c r="K119" i="9"/>
  <c r="E119" i="9"/>
  <c r="B119" i="9"/>
  <c r="K118" i="9"/>
  <c r="E118" i="9"/>
  <c r="B118" i="9"/>
  <c r="K117" i="9"/>
  <c r="E117" i="9"/>
  <c r="B117" i="9"/>
  <c r="K116" i="9"/>
  <c r="E116" i="9"/>
  <c r="B116" i="9"/>
  <c r="K115" i="9"/>
  <c r="E115" i="9"/>
  <c r="B115" i="9"/>
  <c r="K114" i="9"/>
  <c r="E114" i="9"/>
  <c r="B114" i="9"/>
  <c r="K113" i="9"/>
  <c r="E113" i="9"/>
  <c r="B113" i="9"/>
  <c r="K112" i="9"/>
  <c r="E112" i="9"/>
  <c r="B112" i="9"/>
  <c r="K111" i="9"/>
  <c r="E111" i="9"/>
  <c r="B111" i="9"/>
  <c r="K110" i="9"/>
  <c r="E110" i="9"/>
  <c r="B110" i="9"/>
  <c r="K109" i="9"/>
  <c r="E109" i="9"/>
  <c r="B109" i="9"/>
  <c r="K108" i="9"/>
  <c r="E108" i="9"/>
  <c r="B108" i="9"/>
  <c r="K107" i="9"/>
  <c r="E107" i="9"/>
  <c r="B107" i="9"/>
  <c r="K106" i="9"/>
  <c r="E106" i="9"/>
  <c r="B106" i="9"/>
  <c r="K105" i="9"/>
  <c r="E105" i="9"/>
  <c r="B105" i="9"/>
  <c r="K104" i="9"/>
  <c r="E104" i="9"/>
  <c r="B104" i="9"/>
  <c r="K103" i="9"/>
  <c r="E103" i="9"/>
  <c r="B103" i="9"/>
  <c r="K102" i="9"/>
  <c r="E102" i="9"/>
  <c r="B102" i="9"/>
  <c r="K101" i="9"/>
  <c r="E101" i="9"/>
  <c r="B101" i="9"/>
  <c r="K100" i="9"/>
  <c r="E100" i="9"/>
  <c r="B100" i="9"/>
  <c r="K99" i="9"/>
  <c r="E99" i="9"/>
  <c r="B99" i="9"/>
  <c r="K98" i="9"/>
  <c r="E98" i="9"/>
  <c r="B98" i="9"/>
  <c r="K97" i="9"/>
  <c r="E97" i="9"/>
  <c r="B97" i="9"/>
  <c r="K96" i="9"/>
  <c r="E96" i="9"/>
  <c r="B96" i="9"/>
  <c r="K95" i="9"/>
  <c r="E95" i="9"/>
  <c r="B95" i="9"/>
  <c r="K94" i="9"/>
  <c r="E94" i="9"/>
  <c r="B94" i="9"/>
  <c r="K93" i="9"/>
  <c r="E93" i="9"/>
  <c r="B93" i="9"/>
  <c r="K92" i="9"/>
  <c r="E92" i="9"/>
  <c r="B92" i="9"/>
  <c r="K91" i="9"/>
  <c r="E91" i="9"/>
  <c r="B91" i="9"/>
  <c r="K90" i="9"/>
  <c r="E90" i="9"/>
  <c r="B90" i="9"/>
  <c r="K89" i="9"/>
  <c r="E89" i="9"/>
  <c r="B89" i="9"/>
  <c r="K88" i="9"/>
  <c r="E88" i="9"/>
  <c r="B88" i="9"/>
  <c r="K87" i="9"/>
  <c r="E87" i="9"/>
  <c r="B87" i="9"/>
  <c r="K86" i="9"/>
  <c r="E86" i="9"/>
  <c r="B86" i="9"/>
  <c r="K85" i="9"/>
  <c r="E85" i="9"/>
  <c r="B85" i="9"/>
  <c r="K84" i="9"/>
  <c r="E84" i="9"/>
  <c r="B84" i="9"/>
  <c r="K83" i="9"/>
  <c r="E83" i="9"/>
  <c r="B83" i="9"/>
  <c r="K82" i="9"/>
  <c r="E82" i="9"/>
  <c r="B82" i="9"/>
  <c r="K81" i="9"/>
  <c r="E81" i="9"/>
  <c r="B81" i="9"/>
  <c r="K80" i="9"/>
  <c r="E80" i="9"/>
  <c r="B80" i="9"/>
  <c r="K79" i="9"/>
  <c r="E79" i="9"/>
  <c r="B79" i="9"/>
  <c r="K78" i="9"/>
  <c r="E78" i="9"/>
  <c r="B78" i="9"/>
  <c r="K77" i="9"/>
  <c r="E77" i="9"/>
  <c r="B77" i="9"/>
  <c r="K76" i="9"/>
  <c r="E76" i="9"/>
  <c r="B76" i="9"/>
  <c r="K75" i="9"/>
  <c r="E75" i="9"/>
  <c r="B75" i="9"/>
  <c r="K74" i="9"/>
  <c r="E74" i="9"/>
  <c r="B74" i="9"/>
  <c r="K73" i="9"/>
  <c r="E73" i="9"/>
  <c r="B73" i="9"/>
  <c r="K72" i="9"/>
  <c r="E72" i="9"/>
  <c r="B72" i="9"/>
  <c r="K71" i="9"/>
  <c r="E71" i="9"/>
  <c r="B71" i="9"/>
  <c r="K70" i="9"/>
  <c r="E70" i="9"/>
  <c r="B70" i="9"/>
  <c r="K69" i="9"/>
  <c r="E69" i="9"/>
  <c r="B69" i="9"/>
  <c r="K68" i="9"/>
  <c r="E68" i="9"/>
  <c r="B68" i="9"/>
  <c r="K67" i="9"/>
  <c r="E67" i="9"/>
  <c r="B67" i="9"/>
  <c r="K66" i="9"/>
  <c r="E66" i="9"/>
  <c r="B66" i="9"/>
  <c r="K65" i="9"/>
  <c r="E65" i="9"/>
  <c r="B65" i="9"/>
  <c r="K64" i="9"/>
  <c r="E64" i="9"/>
  <c r="B64" i="9"/>
  <c r="K63" i="9"/>
  <c r="E63" i="9"/>
  <c r="B63" i="9"/>
  <c r="K62" i="9"/>
  <c r="E62" i="9"/>
  <c r="B62" i="9"/>
  <c r="K61" i="9"/>
  <c r="E61" i="9"/>
  <c r="B61" i="9"/>
  <c r="K60" i="9"/>
  <c r="E60" i="9"/>
  <c r="B60" i="9"/>
  <c r="K59" i="9"/>
  <c r="E59" i="9"/>
  <c r="B59" i="9"/>
  <c r="K58" i="9"/>
  <c r="E58" i="9"/>
  <c r="B58" i="9"/>
  <c r="K57" i="9"/>
  <c r="E57" i="9"/>
  <c r="B57" i="9"/>
  <c r="K56" i="9"/>
  <c r="E56" i="9"/>
  <c r="B56" i="9"/>
  <c r="K55" i="9"/>
  <c r="E55" i="9"/>
  <c r="B55" i="9"/>
  <c r="K54" i="9"/>
  <c r="E54" i="9"/>
  <c r="B54" i="9"/>
  <c r="K53" i="9"/>
  <c r="E53" i="9"/>
  <c r="B53" i="9"/>
  <c r="K52" i="9"/>
  <c r="E52" i="9"/>
  <c r="B52" i="9"/>
  <c r="K51" i="9"/>
  <c r="E51" i="9"/>
  <c r="B51" i="9"/>
  <c r="K50" i="9"/>
  <c r="E50" i="9"/>
  <c r="B50" i="9"/>
  <c r="K49" i="9"/>
  <c r="E49" i="9"/>
  <c r="B49" i="9"/>
  <c r="K48" i="9"/>
  <c r="E48" i="9"/>
  <c r="B48" i="9"/>
  <c r="K47" i="9"/>
  <c r="E47" i="9"/>
  <c r="B47" i="9"/>
  <c r="K46" i="9"/>
  <c r="E46" i="9"/>
  <c r="B46" i="9"/>
  <c r="K45" i="9"/>
  <c r="E45" i="9"/>
  <c r="B45" i="9"/>
  <c r="K44" i="9"/>
  <c r="E44" i="9"/>
  <c r="B44" i="9"/>
  <c r="K43" i="9"/>
  <c r="E43" i="9"/>
  <c r="B43" i="9"/>
  <c r="K42" i="9"/>
  <c r="E42" i="9"/>
  <c r="B42" i="9"/>
  <c r="K41" i="9"/>
  <c r="E41" i="9"/>
  <c r="B41" i="9"/>
  <c r="K40" i="9"/>
  <c r="E40" i="9"/>
  <c r="B40" i="9"/>
  <c r="K39" i="9"/>
  <c r="E39" i="9"/>
  <c r="B39" i="9"/>
  <c r="K38" i="9"/>
  <c r="E38" i="9"/>
  <c r="B38" i="9"/>
  <c r="K37" i="9"/>
  <c r="E37" i="9"/>
  <c r="B37" i="9"/>
  <c r="K36" i="9"/>
  <c r="E36" i="9"/>
  <c r="B36" i="9"/>
  <c r="K35" i="9"/>
  <c r="E35" i="9"/>
  <c r="B35" i="9"/>
  <c r="K34" i="9"/>
  <c r="E34" i="9"/>
  <c r="B34" i="9"/>
  <c r="K33" i="9"/>
  <c r="E33" i="9"/>
  <c r="B33" i="9"/>
  <c r="K32" i="9"/>
  <c r="E32" i="9"/>
  <c r="B32" i="9"/>
  <c r="K31" i="9"/>
  <c r="E31" i="9"/>
  <c r="B31" i="9"/>
  <c r="K30" i="9"/>
  <c r="E30" i="9"/>
  <c r="B30" i="9"/>
  <c r="K29" i="9"/>
  <c r="E29" i="9"/>
  <c r="B29" i="9"/>
  <c r="K28" i="9"/>
  <c r="E28" i="9"/>
  <c r="B28" i="9"/>
  <c r="K27" i="9"/>
  <c r="E27" i="9"/>
  <c r="B27" i="9"/>
  <c r="K26" i="9"/>
  <c r="E26" i="9"/>
  <c r="B26" i="9"/>
  <c r="K25" i="9"/>
  <c r="E25" i="9"/>
  <c r="B25" i="9"/>
  <c r="K24" i="9"/>
  <c r="E24" i="9"/>
  <c r="B24" i="9"/>
  <c r="K23" i="9"/>
  <c r="E23" i="9"/>
  <c r="B23" i="9"/>
  <c r="K22" i="9"/>
  <c r="E22" i="9"/>
  <c r="B22" i="9"/>
  <c r="K21" i="9"/>
  <c r="E21" i="9"/>
  <c r="B21" i="9"/>
  <c r="K20" i="9"/>
  <c r="E20" i="9"/>
  <c r="B20" i="9"/>
  <c r="K19" i="9"/>
  <c r="E19" i="9"/>
  <c r="B19" i="9"/>
  <c r="K18" i="9"/>
  <c r="E18" i="9"/>
  <c r="B18" i="9"/>
  <c r="K17" i="9"/>
  <c r="E17" i="9"/>
  <c r="B17" i="9"/>
  <c r="K16" i="9"/>
  <c r="E16" i="9"/>
  <c r="B16" i="9"/>
  <c r="K15" i="9"/>
  <c r="E15" i="9"/>
  <c r="B15" i="9"/>
  <c r="K14" i="9"/>
  <c r="E14" i="9"/>
  <c r="B14" i="9"/>
  <c r="K13" i="9"/>
  <c r="E13" i="9"/>
  <c r="B13" i="9"/>
  <c r="K12" i="9"/>
  <c r="E12" i="9"/>
  <c r="B12" i="9"/>
  <c r="K11" i="9"/>
  <c r="E11" i="9"/>
  <c r="B11" i="9"/>
  <c r="K10" i="9"/>
  <c r="E10" i="9"/>
  <c r="B10" i="9"/>
  <c r="K9" i="9"/>
  <c r="E9" i="9"/>
  <c r="B9" i="9"/>
  <c r="K8" i="9"/>
  <c r="E8" i="9"/>
  <c r="B8" i="9"/>
  <c r="K7" i="9"/>
  <c r="E7" i="9"/>
  <c r="B7" i="9"/>
  <c r="K6" i="9"/>
  <c r="E6" i="9"/>
  <c r="B6" i="9"/>
  <c r="K5" i="9"/>
  <c r="E5" i="9"/>
  <c r="B5" i="9"/>
  <c r="K4" i="9"/>
  <c r="E4" i="9"/>
  <c r="B4" i="9"/>
  <c r="K5" i="8" l="1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4" i="8"/>
  <c r="F5" i="1" l="1"/>
  <c r="E41" i="1" l="1"/>
  <c r="G41" i="1" l="1"/>
  <c r="G42" i="1" s="1"/>
  <c r="F75" i="1"/>
  <c r="F50" i="1"/>
  <c r="F7" i="1"/>
  <c r="F90" i="1"/>
  <c r="F25" i="1"/>
  <c r="F18" i="1"/>
  <c r="F19" i="1"/>
  <c r="F35" i="1" l="1"/>
  <c r="D87" i="8" s="1"/>
  <c r="F87" i="8" s="1"/>
  <c r="F11" i="1"/>
  <c r="F37" i="1"/>
  <c r="D81" i="8" l="1"/>
  <c r="F81" i="8" s="1"/>
  <c r="D5" i="8"/>
  <c r="F5" i="8" s="1"/>
  <c r="D40" i="8"/>
  <c r="F40" i="8" s="1"/>
  <c r="D43" i="8"/>
  <c r="F43" i="8" s="1"/>
  <c r="D98" i="8"/>
  <c r="F98" i="8" s="1"/>
  <c r="D72" i="8"/>
  <c r="F72" i="8" s="1"/>
  <c r="F47" i="1"/>
  <c r="H47" i="1" s="1"/>
  <c r="D91" i="8"/>
  <c r="F91" i="8" s="1"/>
  <c r="D120" i="8"/>
  <c r="F120" i="8" s="1"/>
  <c r="D33" i="8"/>
  <c r="F33" i="8" s="1"/>
  <c r="D37" i="8"/>
  <c r="F37" i="8" s="1"/>
  <c r="D21" i="8"/>
  <c r="F21" i="8" s="1"/>
  <c r="D79" i="8"/>
  <c r="F79" i="8" s="1"/>
  <c r="D124" i="8"/>
  <c r="F124" i="8" s="1"/>
  <c r="D13" i="8"/>
  <c r="F13" i="8" s="1"/>
  <c r="D8" i="8"/>
  <c r="F8" i="8" s="1"/>
  <c r="D48" i="8"/>
  <c r="F48" i="8" s="1"/>
  <c r="D30" i="8"/>
  <c r="F30" i="8" s="1"/>
  <c r="D24" i="8"/>
  <c r="F24" i="8" s="1"/>
  <c r="D68" i="8"/>
  <c r="F68" i="8" s="1"/>
  <c r="D45" i="8"/>
  <c r="F45" i="8" s="1"/>
  <c r="D29" i="8"/>
  <c r="F29" i="8" s="1"/>
  <c r="D58" i="8"/>
  <c r="F58" i="8" s="1"/>
  <c r="D47" i="8"/>
  <c r="F47" i="8" s="1"/>
  <c r="D80" i="8"/>
  <c r="F80" i="8" s="1"/>
  <c r="D97" i="8"/>
  <c r="F97" i="8" s="1"/>
  <c r="D107" i="8"/>
  <c r="F107" i="8" s="1"/>
  <c r="D6" i="8"/>
  <c r="F6" i="8" s="1"/>
  <c r="D27" i="8"/>
  <c r="F27" i="8" s="1"/>
  <c r="D121" i="8"/>
  <c r="F121" i="8" s="1"/>
  <c r="D90" i="8"/>
  <c r="F90" i="8" s="1"/>
  <c r="D15" i="8"/>
  <c r="F15" i="8" s="1"/>
  <c r="D44" i="8"/>
  <c r="F44" i="8" s="1"/>
  <c r="D85" i="8"/>
  <c r="F85" i="8" s="1"/>
  <c r="D89" i="8"/>
  <c r="F89" i="8" s="1"/>
  <c r="D60" i="8"/>
  <c r="F60" i="8" s="1"/>
  <c r="D74" i="8"/>
  <c r="F74" i="8" s="1"/>
  <c r="D101" i="8"/>
  <c r="F101" i="8" s="1"/>
  <c r="D105" i="8"/>
  <c r="F105" i="8" s="1"/>
  <c r="D76" i="8"/>
  <c r="F76" i="8" s="1"/>
  <c r="D55" i="8"/>
  <c r="F55" i="8" s="1"/>
  <c r="D56" i="8"/>
  <c r="F56" i="8" s="1"/>
  <c r="D100" i="8"/>
  <c r="F100" i="8" s="1"/>
  <c r="D78" i="8"/>
  <c r="F78" i="8" s="1"/>
  <c r="D38" i="8"/>
  <c r="F38" i="8" s="1"/>
  <c r="D28" i="8"/>
  <c r="F28" i="8" s="1"/>
  <c r="D54" i="8"/>
  <c r="F54" i="8" s="1"/>
  <c r="D59" i="8"/>
  <c r="F59" i="8" s="1"/>
  <c r="D114" i="8"/>
  <c r="F114" i="8" s="1"/>
  <c r="D34" i="8"/>
  <c r="F34" i="8" s="1"/>
  <c r="D53" i="8"/>
  <c r="F53" i="8" s="1"/>
  <c r="D92" i="8"/>
  <c r="F92" i="8" s="1"/>
  <c r="D46" i="8"/>
  <c r="F46" i="8" s="1"/>
  <c r="D12" i="8"/>
  <c r="F12" i="8" s="1"/>
  <c r="D51" i="8"/>
  <c r="F51" i="8" s="1"/>
  <c r="D63" i="8"/>
  <c r="F63" i="8" s="1"/>
  <c r="D41" i="8"/>
  <c r="F41" i="8" s="1"/>
  <c r="D83" i="8"/>
  <c r="F83" i="8" s="1"/>
  <c r="D26" i="8"/>
  <c r="F26" i="8" s="1"/>
  <c r="D84" i="8"/>
  <c r="F84" i="8" s="1"/>
  <c r="D70" i="8"/>
  <c r="F70" i="8" s="1"/>
  <c r="D49" i="8"/>
  <c r="F49" i="8" s="1"/>
  <c r="D96" i="8"/>
  <c r="F96" i="8" s="1"/>
  <c r="D106" i="8"/>
  <c r="F106" i="8" s="1"/>
  <c r="D22" i="8"/>
  <c r="F22" i="8" s="1"/>
  <c r="D86" i="8"/>
  <c r="F86" i="8" s="1"/>
  <c r="D93" i="8"/>
  <c r="F93" i="8" s="1"/>
  <c r="D103" i="8"/>
  <c r="F103" i="8" s="1"/>
  <c r="D113" i="8"/>
  <c r="F113" i="8" s="1"/>
  <c r="D23" i="8"/>
  <c r="F23" i="8" s="1"/>
  <c r="D50" i="8"/>
  <c r="F50" i="8" s="1"/>
  <c r="D109" i="8"/>
  <c r="F109" i="8" s="1"/>
  <c r="D119" i="8"/>
  <c r="F119" i="8" s="1"/>
  <c r="D19" i="8"/>
  <c r="F19" i="8" s="1"/>
  <c r="D123" i="8"/>
  <c r="F123" i="8" s="1"/>
  <c r="D14" i="8"/>
  <c r="F14" i="8" s="1"/>
  <c r="D35" i="8"/>
  <c r="F35" i="8" s="1"/>
  <c r="D42" i="8"/>
  <c r="F42" i="8" s="1"/>
  <c r="D69" i="8"/>
  <c r="F69" i="8" s="1"/>
  <c r="D95" i="8"/>
  <c r="F95" i="8" s="1"/>
  <c r="D73" i="8"/>
  <c r="F73" i="8" s="1"/>
  <c r="D115" i="8"/>
  <c r="F115" i="8" s="1"/>
  <c r="D17" i="8"/>
  <c r="F17" i="8" s="1"/>
  <c r="D7" i="8"/>
  <c r="F7" i="8" s="1"/>
  <c r="D122" i="8"/>
  <c r="F122" i="8" s="1"/>
  <c r="D52" i="8"/>
  <c r="F52" i="8" s="1"/>
  <c r="D67" i="8"/>
  <c r="F67" i="8" s="1"/>
  <c r="D102" i="8"/>
  <c r="F102" i="8" s="1"/>
  <c r="D61" i="8"/>
  <c r="F61" i="8" s="1"/>
  <c r="D71" i="8"/>
  <c r="F71" i="8" s="1"/>
  <c r="D88" i="8"/>
  <c r="F88" i="8" s="1"/>
  <c r="D31" i="8"/>
  <c r="F31" i="8" s="1"/>
  <c r="D116" i="8"/>
  <c r="F116" i="8" s="1"/>
  <c r="D11" i="8"/>
  <c r="F11" i="8" s="1"/>
  <c r="D25" i="8"/>
  <c r="F25" i="8" s="1"/>
  <c r="D118" i="8"/>
  <c r="F118" i="8" s="1"/>
  <c r="D112" i="8"/>
  <c r="F112" i="8" s="1"/>
  <c r="D117" i="8"/>
  <c r="F117" i="8" s="1"/>
  <c r="D57" i="8"/>
  <c r="F57" i="8" s="1"/>
  <c r="D99" i="8"/>
  <c r="F99" i="8" s="1"/>
  <c r="D9" i="8"/>
  <c r="F9" i="8" s="1"/>
  <c r="D64" i="8"/>
  <c r="F64" i="8" s="1"/>
  <c r="D32" i="8"/>
  <c r="F32" i="8" s="1"/>
  <c r="D94" i="8"/>
  <c r="F94" i="8" s="1"/>
  <c r="D104" i="8"/>
  <c r="F104" i="8" s="1"/>
  <c r="D65" i="8"/>
  <c r="F65" i="8" s="1"/>
  <c r="D75" i="8"/>
  <c r="F75" i="8" s="1"/>
  <c r="D110" i="8"/>
  <c r="F110" i="8" s="1"/>
  <c r="D39" i="8"/>
  <c r="F39" i="8" s="1"/>
  <c r="D66" i="8"/>
  <c r="F66" i="8" s="1"/>
  <c r="D4" i="8"/>
  <c r="F4" i="8" s="1"/>
  <c r="G4" i="8" s="1"/>
  <c r="I4" i="8" s="1"/>
  <c r="D10" i="8"/>
  <c r="F10" i="8" s="1"/>
  <c r="D108" i="8"/>
  <c r="F108" i="8" s="1"/>
  <c r="D62" i="8"/>
  <c r="F62" i="8" s="1"/>
  <c r="D20" i="8"/>
  <c r="F20" i="8" s="1"/>
  <c r="D77" i="8"/>
  <c r="F77" i="8" s="1"/>
  <c r="C119" i="8"/>
  <c r="C107" i="8"/>
  <c r="C91" i="8"/>
  <c r="C75" i="8"/>
  <c r="C59" i="8"/>
  <c r="C43" i="8"/>
  <c r="C94" i="8"/>
  <c r="C58" i="8"/>
  <c r="C121" i="8"/>
  <c r="C105" i="8"/>
  <c r="C89" i="8"/>
  <c r="C73" i="8"/>
  <c r="C114" i="8"/>
  <c r="C86" i="8"/>
  <c r="C54" i="8"/>
  <c r="C116" i="8"/>
  <c r="C100" i="8"/>
  <c r="C84" i="8"/>
  <c r="C68" i="8"/>
  <c r="C49" i="8"/>
  <c r="C33" i="8"/>
  <c r="C52" i="8"/>
  <c r="C36" i="8"/>
  <c r="C28" i="8"/>
  <c r="C20" i="8"/>
  <c r="C12" i="8"/>
  <c r="C123" i="8"/>
  <c r="C103" i="8"/>
  <c r="C87" i="8"/>
  <c r="C71" i="8"/>
  <c r="C55" i="8"/>
  <c r="C118" i="8"/>
  <c r="C82" i="8"/>
  <c r="C50" i="8"/>
  <c r="C117" i="8"/>
  <c r="C101" i="8"/>
  <c r="C85" i="8"/>
  <c r="C69" i="8"/>
  <c r="C106" i="8"/>
  <c r="C78" i="8"/>
  <c r="C46" i="8"/>
  <c r="C112" i="8"/>
  <c r="C96" i="8"/>
  <c r="C80" i="8"/>
  <c r="C61" i="8"/>
  <c r="C45" i="8"/>
  <c r="C64" i="8"/>
  <c r="C48" i="8"/>
  <c r="C38" i="8"/>
  <c r="C30" i="8"/>
  <c r="C22" i="8"/>
  <c r="C14" i="8"/>
  <c r="C6" i="8"/>
  <c r="C29" i="8"/>
  <c r="C21" i="8"/>
  <c r="C13" i="8"/>
  <c r="C5" i="8"/>
  <c r="C39" i="8"/>
  <c r="C31" i="8"/>
  <c r="C23" i="8"/>
  <c r="C15" i="8"/>
  <c r="C7" i="8"/>
  <c r="C115" i="8"/>
  <c r="C99" i="8"/>
  <c r="C83" i="8"/>
  <c r="C67" i="8"/>
  <c r="C51" i="8"/>
  <c r="C110" i="8"/>
  <c r="C74" i="8"/>
  <c r="C42" i="8"/>
  <c r="C113" i="8"/>
  <c r="C97" i="8"/>
  <c r="C81" i="8"/>
  <c r="C65" i="8"/>
  <c r="C98" i="8"/>
  <c r="C70" i="8"/>
  <c r="C124" i="8"/>
  <c r="C108" i="8"/>
  <c r="C92" i="8"/>
  <c r="C76" i="8"/>
  <c r="C57" i="8"/>
  <c r="C41" i="8"/>
  <c r="C60" i="8"/>
  <c r="C44" i="8"/>
  <c r="C32" i="8"/>
  <c r="C24" i="8"/>
  <c r="C16" i="8"/>
  <c r="C8" i="8"/>
  <c r="C111" i="8"/>
  <c r="C95" i="8"/>
  <c r="C79" i="8"/>
  <c r="C63" i="8"/>
  <c r="C47" i="8"/>
  <c r="C102" i="8"/>
  <c r="C66" i="8"/>
  <c r="C4" i="8"/>
  <c r="C109" i="8"/>
  <c r="C93" i="8"/>
  <c r="C77" i="8"/>
  <c r="C122" i="8"/>
  <c r="C90" i="8"/>
  <c r="C62" i="8"/>
  <c r="C120" i="8"/>
  <c r="C104" i="8"/>
  <c r="C88" i="8"/>
  <c r="C72" i="8"/>
  <c r="C53" i="8"/>
  <c r="C37" i="8"/>
  <c r="C56" i="8"/>
  <c r="C40" i="8"/>
  <c r="C34" i="8"/>
  <c r="C26" i="8"/>
  <c r="C18" i="8"/>
  <c r="C10" i="8"/>
  <c r="C25" i="8"/>
  <c r="C17" i="8"/>
  <c r="C9" i="8"/>
  <c r="C35" i="8"/>
  <c r="C27" i="8"/>
  <c r="C19" i="8"/>
  <c r="C11" i="8"/>
  <c r="D16" i="8"/>
  <c r="F16" i="8" s="1"/>
  <c r="D111" i="8"/>
  <c r="F111" i="8" s="1"/>
  <c r="D82" i="8"/>
  <c r="F82" i="8" s="1"/>
  <c r="D36" i="8"/>
  <c r="F36" i="8" s="1"/>
  <c r="D18" i="8"/>
  <c r="F18" i="8" s="1"/>
  <c r="D116" i="9"/>
  <c r="F116" i="9" s="1"/>
  <c r="D119" i="9"/>
  <c r="F119" i="9" s="1"/>
  <c r="D120" i="9"/>
  <c r="F120" i="9" s="1"/>
  <c r="C7" i="9"/>
  <c r="C33" i="9"/>
  <c r="C28" i="9"/>
  <c r="C44" i="9"/>
  <c r="C60" i="9"/>
  <c r="C76" i="9"/>
  <c r="C92" i="9"/>
  <c r="C108" i="9"/>
  <c r="C35" i="9"/>
  <c r="C59" i="9"/>
  <c r="C75" i="9"/>
  <c r="D103" i="9"/>
  <c r="F103" i="9" s="1"/>
  <c r="C119" i="9"/>
  <c r="C19" i="9"/>
  <c r="C10" i="9"/>
  <c r="D30" i="9"/>
  <c r="F30" i="9" s="1"/>
  <c r="D50" i="9"/>
  <c r="F50" i="9" s="1"/>
  <c r="D114" i="9"/>
  <c r="F114" i="9" s="1"/>
  <c r="C9" i="9"/>
  <c r="C49" i="9"/>
  <c r="C69" i="9"/>
  <c r="C93" i="9"/>
  <c r="C109" i="9"/>
  <c r="C27" i="9"/>
  <c r="C54" i="9"/>
  <c r="C70" i="9"/>
  <c r="C86" i="9"/>
  <c r="D118" i="9"/>
  <c r="F118" i="9" s="1"/>
  <c r="D98" i="9"/>
  <c r="F98" i="9" s="1"/>
  <c r="D82" i="9"/>
  <c r="F82" i="9" s="1"/>
  <c r="D66" i="9"/>
  <c r="F66" i="9" s="1"/>
  <c r="D38" i="9"/>
  <c r="F38" i="9" s="1"/>
  <c r="D18" i="9"/>
  <c r="F18" i="9" s="1"/>
  <c r="C123" i="9"/>
  <c r="C103" i="9"/>
  <c r="C30" i="9"/>
  <c r="D113" i="9"/>
  <c r="F113" i="9" s="1"/>
  <c r="D97" i="9"/>
  <c r="F97" i="9" s="1"/>
  <c r="D81" i="9"/>
  <c r="F81" i="9" s="1"/>
  <c r="D65" i="9"/>
  <c r="F65" i="9" s="1"/>
  <c r="D49" i="9"/>
  <c r="F49" i="9" s="1"/>
  <c r="D33" i="9"/>
  <c r="F33" i="9" s="1"/>
  <c r="D17" i="9"/>
  <c r="F17" i="9" s="1"/>
  <c r="C114" i="9"/>
  <c r="C46" i="9"/>
  <c r="D108" i="9"/>
  <c r="F108" i="9" s="1"/>
  <c r="D92" i="9"/>
  <c r="F92" i="9" s="1"/>
  <c r="D76" i="9"/>
  <c r="F76" i="9" s="1"/>
  <c r="D60" i="9"/>
  <c r="F60" i="9" s="1"/>
  <c r="D44" i="9"/>
  <c r="F44" i="9" s="1"/>
  <c r="D28" i="9"/>
  <c r="F28" i="9" s="1"/>
  <c r="D12" i="9"/>
  <c r="F12" i="9" s="1"/>
  <c r="C91" i="9"/>
  <c r="D91" i="9"/>
  <c r="F91" i="9" s="1"/>
  <c r="D75" i="9"/>
  <c r="F75" i="9" s="1"/>
  <c r="D59" i="9"/>
  <c r="F59" i="9" s="1"/>
  <c r="D43" i="9"/>
  <c r="F43" i="9" s="1"/>
  <c r="D27" i="9"/>
  <c r="F27" i="9" s="1"/>
  <c r="D11" i="9"/>
  <c r="F11" i="9" s="1"/>
  <c r="C15" i="9"/>
  <c r="C4" i="9"/>
  <c r="C32" i="9"/>
  <c r="C48" i="9"/>
  <c r="C64" i="9"/>
  <c r="C80" i="9"/>
  <c r="C96" i="9"/>
  <c r="C112" i="9"/>
  <c r="C47" i="9"/>
  <c r="C63" i="9"/>
  <c r="C79" i="9"/>
  <c r="D107" i="9"/>
  <c r="F107" i="9" s="1"/>
  <c r="C120" i="9"/>
  <c r="C39" i="9"/>
  <c r="C14" i="9"/>
  <c r="C34" i="9"/>
  <c r="C98" i="9"/>
  <c r="C118" i="9"/>
  <c r="C37" i="9"/>
  <c r="C57" i="9"/>
  <c r="C73" i="9"/>
  <c r="C97" i="9"/>
  <c r="C113" i="9"/>
  <c r="C26" i="9"/>
  <c r="C58" i="9"/>
  <c r="C74" i="9"/>
  <c r="C90" i="9"/>
  <c r="D110" i="9"/>
  <c r="F110" i="9" s="1"/>
  <c r="D94" i="9"/>
  <c r="F94" i="9" s="1"/>
  <c r="D78" i="9"/>
  <c r="F78" i="9" s="1"/>
  <c r="D62" i="9"/>
  <c r="F62" i="9" s="1"/>
  <c r="D34" i="9"/>
  <c r="F34" i="9" s="1"/>
  <c r="D14" i="9"/>
  <c r="F14" i="9" s="1"/>
  <c r="C115" i="9"/>
  <c r="C12" i="9"/>
  <c r="C13" i="9"/>
  <c r="C21" i="9"/>
  <c r="C77" i="9"/>
  <c r="D4" i="9"/>
  <c r="F4" i="9" s="1"/>
  <c r="D109" i="9"/>
  <c r="F109" i="9" s="1"/>
  <c r="D93" i="9"/>
  <c r="F93" i="9" s="1"/>
  <c r="D77" i="9"/>
  <c r="F77" i="9" s="1"/>
  <c r="D61" i="9"/>
  <c r="F61" i="9" s="1"/>
  <c r="D45" i="9"/>
  <c r="F45" i="9" s="1"/>
  <c r="D29" i="9"/>
  <c r="F29" i="9" s="1"/>
  <c r="D13" i="9"/>
  <c r="F13" i="9" s="1"/>
  <c r="C110" i="9"/>
  <c r="D104" i="9"/>
  <c r="F104" i="9" s="1"/>
  <c r="D88" i="9"/>
  <c r="F88" i="9" s="1"/>
  <c r="D72" i="9"/>
  <c r="F72" i="9" s="1"/>
  <c r="D56" i="9"/>
  <c r="F56" i="9" s="1"/>
  <c r="D40" i="9"/>
  <c r="F40" i="9" s="1"/>
  <c r="D24" i="9"/>
  <c r="F24" i="9" s="1"/>
  <c r="D8" i="9"/>
  <c r="F8" i="9" s="1"/>
  <c r="C50" i="9"/>
  <c r="D87" i="9"/>
  <c r="F87" i="9" s="1"/>
  <c r="D71" i="9"/>
  <c r="F71" i="9" s="1"/>
  <c r="D55" i="9"/>
  <c r="F55" i="9" s="1"/>
  <c r="D39" i="9"/>
  <c r="F39" i="9" s="1"/>
  <c r="D23" i="9"/>
  <c r="F23" i="9" s="1"/>
  <c r="D7" i="9"/>
  <c r="F7" i="9" s="1"/>
  <c r="C25" i="9"/>
  <c r="C8" i="9"/>
  <c r="C36" i="9"/>
  <c r="C52" i="9"/>
  <c r="C68" i="9"/>
  <c r="C84" i="9"/>
  <c r="C100" i="9"/>
  <c r="C116" i="9"/>
  <c r="C51" i="9"/>
  <c r="C67" i="9"/>
  <c r="C95" i="9"/>
  <c r="D111" i="9"/>
  <c r="F111" i="9" s="1"/>
  <c r="C124" i="9"/>
  <c r="C43" i="9"/>
  <c r="C18" i="9"/>
  <c r="D42" i="9"/>
  <c r="F42" i="9" s="1"/>
  <c r="C102" i="9"/>
  <c r="C41" i="9"/>
  <c r="C61" i="9"/>
  <c r="C85" i="9"/>
  <c r="C101" i="9"/>
  <c r="C117" i="9"/>
  <c r="C16" i="9"/>
  <c r="C31" i="9"/>
  <c r="C62" i="9"/>
  <c r="C78" i="9"/>
  <c r="C94" i="9"/>
  <c r="D106" i="9"/>
  <c r="F106" i="9" s="1"/>
  <c r="D90" i="9"/>
  <c r="F90" i="9" s="1"/>
  <c r="D74" i="9"/>
  <c r="F74" i="9" s="1"/>
  <c r="D58" i="9"/>
  <c r="F58" i="9" s="1"/>
  <c r="D26" i="9"/>
  <c r="F26" i="9" s="1"/>
  <c r="D10" i="9"/>
  <c r="F10" i="9" s="1"/>
  <c r="C111" i="9"/>
  <c r="C5" i="9"/>
  <c r="C42" i="9"/>
  <c r="C81" i="9"/>
  <c r="D121" i="9"/>
  <c r="F121" i="9" s="1"/>
  <c r="D105" i="9"/>
  <c r="F105" i="9" s="1"/>
  <c r="D89" i="9"/>
  <c r="F89" i="9" s="1"/>
  <c r="D73" i="9"/>
  <c r="F73" i="9" s="1"/>
  <c r="D57" i="9"/>
  <c r="F57" i="9" s="1"/>
  <c r="D41" i="9"/>
  <c r="F41" i="9" s="1"/>
  <c r="D25" i="9"/>
  <c r="F25" i="9" s="1"/>
  <c r="D9" i="9"/>
  <c r="F9" i="9" s="1"/>
  <c r="D124" i="9"/>
  <c r="F124" i="9" s="1"/>
  <c r="D100" i="9"/>
  <c r="F100" i="9" s="1"/>
  <c r="D84" i="9"/>
  <c r="F84" i="9" s="1"/>
  <c r="D68" i="9"/>
  <c r="F68" i="9" s="1"/>
  <c r="D52" i="9"/>
  <c r="F52" i="9" s="1"/>
  <c r="D36" i="9"/>
  <c r="F36" i="9" s="1"/>
  <c r="D20" i="9"/>
  <c r="F20" i="9" s="1"/>
  <c r="C23" i="9"/>
  <c r="C83" i="9"/>
  <c r="D99" i="9"/>
  <c r="F99" i="9" s="1"/>
  <c r="D83" i="9"/>
  <c r="F83" i="9" s="1"/>
  <c r="D67" i="9"/>
  <c r="F67" i="9" s="1"/>
  <c r="D51" i="9"/>
  <c r="F51" i="9" s="1"/>
  <c r="D35" i="9"/>
  <c r="F35" i="9" s="1"/>
  <c r="D19" i="9"/>
  <c r="F19" i="9" s="1"/>
  <c r="C29" i="9"/>
  <c r="C24" i="9"/>
  <c r="C40" i="9"/>
  <c r="C56" i="9"/>
  <c r="C72" i="9"/>
  <c r="C88" i="9"/>
  <c r="C104" i="9"/>
  <c r="C121" i="9"/>
  <c r="C55" i="9"/>
  <c r="C71" i="9"/>
  <c r="C99" i="9"/>
  <c r="D115" i="9"/>
  <c r="F115" i="9" s="1"/>
  <c r="C11" i="9"/>
  <c r="C6" i="9"/>
  <c r="C22" i="9"/>
  <c r="D46" i="9"/>
  <c r="F46" i="9" s="1"/>
  <c r="C106" i="9"/>
  <c r="D123" i="9"/>
  <c r="F123" i="9" s="1"/>
  <c r="C45" i="9"/>
  <c r="C65" i="9"/>
  <c r="C89" i="9"/>
  <c r="C105" i="9"/>
  <c r="C122" i="9"/>
  <c r="C20" i="9"/>
  <c r="C38" i="9"/>
  <c r="C66" i="9"/>
  <c r="C82" i="9"/>
  <c r="D122" i="9"/>
  <c r="F122" i="9" s="1"/>
  <c r="D102" i="9"/>
  <c r="F102" i="9" s="1"/>
  <c r="D86" i="9"/>
  <c r="F86" i="9" s="1"/>
  <c r="D70" i="9"/>
  <c r="F70" i="9" s="1"/>
  <c r="D54" i="9"/>
  <c r="F54" i="9" s="1"/>
  <c r="D22" i="9"/>
  <c r="F22" i="9" s="1"/>
  <c r="D6" i="9"/>
  <c r="F6" i="9" s="1"/>
  <c r="C107" i="9"/>
  <c r="C17" i="9"/>
  <c r="C53" i="9"/>
  <c r="D117" i="9"/>
  <c r="F117" i="9" s="1"/>
  <c r="D101" i="9"/>
  <c r="F101" i="9" s="1"/>
  <c r="D85" i="9"/>
  <c r="F85" i="9" s="1"/>
  <c r="D69" i="9"/>
  <c r="F69" i="9" s="1"/>
  <c r="D53" i="9"/>
  <c r="F53" i="9" s="1"/>
  <c r="D37" i="9"/>
  <c r="F37" i="9" s="1"/>
  <c r="D21" i="9"/>
  <c r="F21" i="9" s="1"/>
  <c r="D5" i="9"/>
  <c r="F5" i="9" s="1"/>
  <c r="D112" i="9"/>
  <c r="F112" i="9" s="1"/>
  <c r="D96" i="9"/>
  <c r="F96" i="9" s="1"/>
  <c r="D80" i="9"/>
  <c r="F80" i="9" s="1"/>
  <c r="D64" i="9"/>
  <c r="F64" i="9" s="1"/>
  <c r="D48" i="9"/>
  <c r="F48" i="9" s="1"/>
  <c r="D32" i="9"/>
  <c r="F32" i="9" s="1"/>
  <c r="D16" i="9"/>
  <c r="F16" i="9" s="1"/>
  <c r="C87" i="9"/>
  <c r="D95" i="9"/>
  <c r="F95" i="9" s="1"/>
  <c r="D79" i="9"/>
  <c r="F79" i="9" s="1"/>
  <c r="D63" i="9"/>
  <c r="F63" i="9" s="1"/>
  <c r="D47" i="9"/>
  <c r="F47" i="9" s="1"/>
  <c r="D31" i="9"/>
  <c r="F31" i="9" s="1"/>
  <c r="D15" i="9"/>
  <c r="F15" i="9" s="1"/>
  <c r="F12" i="1"/>
  <c r="F14" i="1"/>
  <c r="F55" i="1"/>
  <c r="F57" i="1" s="1"/>
  <c r="F76" i="1"/>
  <c r="F77" i="1" s="1"/>
  <c r="F49" i="1"/>
  <c r="H49" i="1" s="1"/>
  <c r="F91" i="1"/>
  <c r="F92" i="1" s="1"/>
  <c r="F59" i="1"/>
  <c r="F61" i="1" s="1"/>
  <c r="G4" i="9" l="1"/>
  <c r="F69" i="1"/>
  <c r="G95" i="9" s="1"/>
  <c r="F60" i="1"/>
  <c r="F67" i="1"/>
  <c r="F56" i="1"/>
  <c r="G5" i="9" l="1"/>
  <c r="H5" i="9" s="1"/>
  <c r="H95" i="9"/>
  <c r="I95" i="9"/>
  <c r="G97" i="9"/>
  <c r="G108" i="9"/>
  <c r="G62" i="9"/>
  <c r="G39" i="9"/>
  <c r="G124" i="9"/>
  <c r="G6" i="9"/>
  <c r="G81" i="9"/>
  <c r="G75" i="9"/>
  <c r="G96" i="9"/>
  <c r="G21" i="9"/>
  <c r="G93" i="9"/>
  <c r="G82" i="9"/>
  <c r="G48" i="9"/>
  <c r="G80" i="9"/>
  <c r="G66" i="9"/>
  <c r="G110" i="9"/>
  <c r="G109" i="9"/>
  <c r="G104" i="9"/>
  <c r="G87" i="9"/>
  <c r="G58" i="9"/>
  <c r="G41" i="9"/>
  <c r="G36" i="9"/>
  <c r="G70" i="9"/>
  <c r="G118" i="9"/>
  <c r="G65" i="9"/>
  <c r="G12" i="9"/>
  <c r="G26" i="9"/>
  <c r="G25" i="9"/>
  <c r="G20" i="9"/>
  <c r="G19" i="9"/>
  <c r="G46" i="9"/>
  <c r="G54" i="9"/>
  <c r="G16" i="9"/>
  <c r="G98" i="9"/>
  <c r="G113" i="9"/>
  <c r="G60" i="9"/>
  <c r="G116" i="9"/>
  <c r="G44" i="9"/>
  <c r="G56" i="9"/>
  <c r="G57" i="9"/>
  <c r="G86" i="9"/>
  <c r="G28" i="9"/>
  <c r="G99" i="9"/>
  <c r="G37" i="9"/>
  <c r="G15" i="9"/>
  <c r="G63" i="9"/>
  <c r="G14" i="9"/>
  <c r="G29" i="9"/>
  <c r="G24" i="9"/>
  <c r="G7" i="9"/>
  <c r="G42" i="9"/>
  <c r="G78" i="9"/>
  <c r="G13" i="9"/>
  <c r="G8" i="9"/>
  <c r="G90" i="9"/>
  <c r="G73" i="9"/>
  <c r="G68" i="9"/>
  <c r="G102" i="9"/>
  <c r="G69" i="9"/>
  <c r="G64" i="9"/>
  <c r="G112" i="9"/>
  <c r="G25" i="8"/>
  <c r="G80" i="8"/>
  <c r="G61" i="8"/>
  <c r="G100" i="8"/>
  <c r="G50" i="8"/>
  <c r="G114" i="8"/>
  <c r="G43" i="8"/>
  <c r="G107" i="8"/>
  <c r="G41" i="8"/>
  <c r="G33" i="8"/>
  <c r="G97" i="8"/>
  <c r="G72" i="8"/>
  <c r="G11" i="8"/>
  <c r="G6" i="8"/>
  <c r="G70" i="8"/>
  <c r="G47" i="8"/>
  <c r="G111" i="8"/>
  <c r="G60" i="8"/>
  <c r="G124" i="8"/>
  <c r="G58" i="8"/>
  <c r="G122" i="8"/>
  <c r="G32" i="8"/>
  <c r="G99" i="8"/>
  <c r="G73" i="8"/>
  <c r="G7" i="8"/>
  <c r="G39" i="8"/>
  <c r="G62" i="8"/>
  <c r="G55" i="8"/>
  <c r="G119" i="8"/>
  <c r="G21" i="8"/>
  <c r="G57" i="8"/>
  <c r="G13" i="8"/>
  <c r="G77" i="8"/>
  <c r="G52" i="8"/>
  <c r="G116" i="8"/>
  <c r="G66" i="8"/>
  <c r="G12" i="8"/>
  <c r="G59" i="8"/>
  <c r="G123" i="8"/>
  <c r="G89" i="8"/>
  <c r="G49" i="8"/>
  <c r="G113" i="8"/>
  <c r="G88" i="8"/>
  <c r="G19" i="8"/>
  <c r="G22" i="8"/>
  <c r="G86" i="8"/>
  <c r="G63" i="8"/>
  <c r="G36" i="8"/>
  <c r="G5" i="8"/>
  <c r="G76" i="8"/>
  <c r="G10" i="8"/>
  <c r="G74" i="8"/>
  <c r="G8" i="8"/>
  <c r="G51" i="8"/>
  <c r="G115" i="8"/>
  <c r="G48" i="8"/>
  <c r="G15" i="8"/>
  <c r="G14" i="8"/>
  <c r="G78" i="8"/>
  <c r="G71" i="8"/>
  <c r="G69" i="8"/>
  <c r="G105" i="8"/>
  <c r="G29" i="8"/>
  <c r="G93" i="8"/>
  <c r="G68" i="8"/>
  <c r="G18" i="8"/>
  <c r="G82" i="8"/>
  <c r="G20" i="8"/>
  <c r="G75" i="8"/>
  <c r="G44" i="8"/>
  <c r="G64" i="8"/>
  <c r="G65" i="8"/>
  <c r="G40" i="8"/>
  <c r="G104" i="8"/>
  <c r="G27" i="8"/>
  <c r="G38" i="8"/>
  <c r="G102" i="8"/>
  <c r="G79" i="8"/>
  <c r="G53" i="8"/>
  <c r="G92" i="8"/>
  <c r="G26" i="8"/>
  <c r="G90" i="8"/>
  <c r="G16" i="8"/>
  <c r="G67" i="8"/>
  <c r="G37" i="8"/>
  <c r="G96" i="8"/>
  <c r="G23" i="8"/>
  <c r="G30" i="8"/>
  <c r="G94" i="8"/>
  <c r="G87" i="8"/>
  <c r="G117" i="8"/>
  <c r="G121" i="8"/>
  <c r="G45" i="8"/>
  <c r="G109" i="8"/>
  <c r="G84" i="8"/>
  <c r="G34" i="8"/>
  <c r="G98" i="8"/>
  <c r="G28" i="8"/>
  <c r="G91" i="8"/>
  <c r="G9" i="8"/>
  <c r="G17" i="8"/>
  <c r="G81" i="8"/>
  <c r="G56" i="8"/>
  <c r="G120" i="8"/>
  <c r="G35" i="8"/>
  <c r="G54" i="8"/>
  <c r="G118" i="8"/>
  <c r="G95" i="8"/>
  <c r="G101" i="8"/>
  <c r="G108" i="8"/>
  <c r="G42" i="8"/>
  <c r="G106" i="8"/>
  <c r="G24" i="8"/>
  <c r="G83" i="8"/>
  <c r="G85" i="8"/>
  <c r="G112" i="8"/>
  <c r="G31" i="8"/>
  <c r="G46" i="8"/>
  <c r="G110" i="8"/>
  <c r="G103" i="8"/>
  <c r="H4" i="8"/>
  <c r="J4" i="8" s="1"/>
  <c r="L4" i="8" s="1"/>
  <c r="G123" i="9"/>
  <c r="G33" i="9"/>
  <c r="G27" i="9"/>
  <c r="H4" i="9"/>
  <c r="I4" i="9"/>
  <c r="G74" i="9"/>
  <c r="G52" i="9"/>
  <c r="G117" i="9"/>
  <c r="G103" i="9"/>
  <c r="G17" i="9"/>
  <c r="G11" i="9"/>
  <c r="G107" i="9"/>
  <c r="G32" i="9"/>
  <c r="G114" i="9"/>
  <c r="G31" i="9"/>
  <c r="G119" i="9"/>
  <c r="G34" i="9"/>
  <c r="G45" i="9"/>
  <c r="G40" i="9"/>
  <c r="G23" i="9"/>
  <c r="G105" i="9"/>
  <c r="G100" i="9"/>
  <c r="G35" i="9"/>
  <c r="G30" i="9"/>
  <c r="G38" i="9"/>
  <c r="G76" i="9"/>
  <c r="G59" i="9"/>
  <c r="G106" i="9"/>
  <c r="G89" i="9"/>
  <c r="G84" i="9"/>
  <c r="G83" i="9"/>
  <c r="G115" i="9"/>
  <c r="G122" i="9"/>
  <c r="G85" i="9"/>
  <c r="G50" i="9"/>
  <c r="G18" i="9"/>
  <c r="G49" i="9"/>
  <c r="G43" i="9"/>
  <c r="G91" i="9"/>
  <c r="G61" i="9"/>
  <c r="G121" i="9"/>
  <c r="G51" i="9"/>
  <c r="G53" i="9"/>
  <c r="G92" i="9"/>
  <c r="G101" i="9"/>
  <c r="G79" i="9"/>
  <c r="G120" i="9"/>
  <c r="G94" i="9"/>
  <c r="G88" i="9"/>
  <c r="G71" i="9"/>
  <c r="G111" i="9"/>
  <c r="G77" i="9"/>
  <c r="G72" i="9"/>
  <c r="G55" i="9"/>
  <c r="G10" i="9"/>
  <c r="G9" i="9"/>
  <c r="G67" i="9"/>
  <c r="G22" i="9"/>
  <c r="G47" i="9"/>
  <c r="F93" i="1"/>
  <c r="F94" i="1" s="1"/>
  <c r="F78" i="1"/>
  <c r="I5" i="9" l="1"/>
  <c r="J5" i="9" s="1"/>
  <c r="L5" i="9" s="1"/>
  <c r="J95" i="9"/>
  <c r="L95" i="9" s="1"/>
  <c r="J4" i="9"/>
  <c r="L4" i="9" s="1"/>
  <c r="H77" i="9"/>
  <c r="I77" i="9"/>
  <c r="H10" i="9"/>
  <c r="I10" i="9"/>
  <c r="H111" i="9"/>
  <c r="I111" i="9"/>
  <c r="H120" i="9"/>
  <c r="I120" i="9"/>
  <c r="H53" i="9"/>
  <c r="I53" i="9"/>
  <c r="H91" i="9"/>
  <c r="I91" i="9"/>
  <c r="H50" i="9"/>
  <c r="I50" i="9"/>
  <c r="H83" i="9"/>
  <c r="I83" i="9"/>
  <c r="H59" i="9"/>
  <c r="I59" i="9"/>
  <c r="H35" i="9"/>
  <c r="I35" i="9"/>
  <c r="H40" i="9"/>
  <c r="I40" i="9"/>
  <c r="H31" i="9"/>
  <c r="I31" i="9"/>
  <c r="H11" i="9"/>
  <c r="I11" i="9"/>
  <c r="H52" i="9"/>
  <c r="I52" i="9"/>
  <c r="I31" i="8"/>
  <c r="H31" i="8"/>
  <c r="H24" i="8"/>
  <c r="I24" i="8"/>
  <c r="H101" i="8"/>
  <c r="I101" i="8"/>
  <c r="I35" i="8"/>
  <c r="H35" i="8"/>
  <c r="H17" i="8"/>
  <c r="I17" i="8"/>
  <c r="H98" i="8"/>
  <c r="I98" i="8"/>
  <c r="I45" i="8"/>
  <c r="H45" i="8"/>
  <c r="I94" i="8"/>
  <c r="H94" i="8"/>
  <c r="H37" i="8"/>
  <c r="I37" i="8"/>
  <c r="H26" i="8"/>
  <c r="I26" i="8"/>
  <c r="H102" i="8"/>
  <c r="I102" i="8"/>
  <c r="H40" i="8"/>
  <c r="I40" i="8"/>
  <c r="H75" i="8"/>
  <c r="I75" i="8"/>
  <c r="H68" i="8"/>
  <c r="I68" i="8"/>
  <c r="H69" i="8"/>
  <c r="I69" i="8"/>
  <c r="I15" i="8"/>
  <c r="H15" i="8"/>
  <c r="H8" i="8"/>
  <c r="I8" i="8"/>
  <c r="I5" i="8"/>
  <c r="H5" i="8"/>
  <c r="I22" i="8"/>
  <c r="H22" i="8"/>
  <c r="I49" i="8"/>
  <c r="H49" i="8"/>
  <c r="I12" i="8"/>
  <c r="H12" i="8"/>
  <c r="I77" i="8"/>
  <c r="H77" i="8"/>
  <c r="H119" i="8"/>
  <c r="I119" i="8"/>
  <c r="I7" i="8"/>
  <c r="H7" i="8"/>
  <c r="H122" i="8"/>
  <c r="I122" i="8"/>
  <c r="I111" i="8"/>
  <c r="H111" i="8"/>
  <c r="I11" i="8"/>
  <c r="H11" i="8"/>
  <c r="I41" i="8"/>
  <c r="H41" i="8"/>
  <c r="I50" i="8"/>
  <c r="H50" i="8"/>
  <c r="I25" i="8"/>
  <c r="H25" i="8"/>
  <c r="H102" i="9"/>
  <c r="I102" i="9"/>
  <c r="H8" i="9"/>
  <c r="I8" i="9"/>
  <c r="H7" i="9"/>
  <c r="I7" i="9"/>
  <c r="H63" i="9"/>
  <c r="I63" i="9"/>
  <c r="H28" i="9"/>
  <c r="I28" i="9"/>
  <c r="H44" i="9"/>
  <c r="I44" i="9"/>
  <c r="H98" i="9"/>
  <c r="I98" i="9"/>
  <c r="H19" i="9"/>
  <c r="I19" i="9"/>
  <c r="H12" i="9"/>
  <c r="I12" i="9"/>
  <c r="H36" i="9"/>
  <c r="I36" i="9"/>
  <c r="H104" i="9"/>
  <c r="I104" i="9"/>
  <c r="H80" i="9"/>
  <c r="I80" i="9"/>
  <c r="H21" i="9"/>
  <c r="I21" i="9"/>
  <c r="H6" i="9"/>
  <c r="I6" i="9"/>
  <c r="H108" i="9"/>
  <c r="I108" i="9"/>
  <c r="H55" i="9"/>
  <c r="I55" i="9"/>
  <c r="H79" i="9"/>
  <c r="I79" i="9"/>
  <c r="H43" i="9"/>
  <c r="I43" i="9"/>
  <c r="H85" i="9"/>
  <c r="I85" i="9"/>
  <c r="H84" i="9"/>
  <c r="I84" i="9"/>
  <c r="H76" i="9"/>
  <c r="I76" i="9"/>
  <c r="H100" i="9"/>
  <c r="I100" i="9"/>
  <c r="H45" i="9"/>
  <c r="I45" i="9"/>
  <c r="H114" i="9"/>
  <c r="I114" i="9"/>
  <c r="H17" i="9"/>
  <c r="I17" i="9"/>
  <c r="I74" i="9"/>
  <c r="H74" i="9"/>
  <c r="H27" i="9"/>
  <c r="I27" i="9"/>
  <c r="I103" i="8"/>
  <c r="H103" i="8"/>
  <c r="H112" i="8"/>
  <c r="I112" i="8"/>
  <c r="I106" i="8"/>
  <c r="H106" i="8"/>
  <c r="I95" i="8"/>
  <c r="H95" i="8"/>
  <c r="H120" i="8"/>
  <c r="I120" i="8"/>
  <c r="H9" i="8"/>
  <c r="I9" i="8"/>
  <c r="I34" i="8"/>
  <c r="H34" i="8"/>
  <c r="I121" i="8"/>
  <c r="H121" i="8"/>
  <c r="I30" i="8"/>
  <c r="H30" i="8"/>
  <c r="I67" i="8"/>
  <c r="H67" i="8"/>
  <c r="I92" i="8"/>
  <c r="H92" i="8"/>
  <c r="H38" i="8"/>
  <c r="I38" i="8"/>
  <c r="H65" i="8"/>
  <c r="I65" i="8"/>
  <c r="I20" i="8"/>
  <c r="H20" i="8"/>
  <c r="I93" i="8"/>
  <c r="H93" i="8"/>
  <c r="I71" i="8"/>
  <c r="H71" i="8"/>
  <c r="H48" i="8"/>
  <c r="I48" i="8"/>
  <c r="I74" i="8"/>
  <c r="H74" i="8"/>
  <c r="H36" i="8"/>
  <c r="I36" i="8"/>
  <c r="I19" i="8"/>
  <c r="H19" i="8"/>
  <c r="I89" i="8"/>
  <c r="H89" i="8"/>
  <c r="I66" i="8"/>
  <c r="H66" i="8"/>
  <c r="I13" i="8"/>
  <c r="H13" i="8"/>
  <c r="H55" i="8"/>
  <c r="I55" i="8"/>
  <c r="I73" i="8"/>
  <c r="H73" i="8"/>
  <c r="H58" i="8"/>
  <c r="I58" i="8"/>
  <c r="I47" i="8"/>
  <c r="H47" i="8"/>
  <c r="I72" i="8"/>
  <c r="H72" i="8"/>
  <c r="I107" i="8"/>
  <c r="H107" i="8"/>
  <c r="H100" i="8"/>
  <c r="I100" i="8"/>
  <c r="H112" i="9"/>
  <c r="I112" i="9"/>
  <c r="H68" i="9"/>
  <c r="I68" i="9"/>
  <c r="H13" i="9"/>
  <c r="I13" i="9"/>
  <c r="H24" i="9"/>
  <c r="I24" i="9"/>
  <c r="H15" i="9"/>
  <c r="I15" i="9"/>
  <c r="H86" i="9"/>
  <c r="I86" i="9"/>
  <c r="H116" i="9"/>
  <c r="I116" i="9"/>
  <c r="H16" i="9"/>
  <c r="I16" i="9"/>
  <c r="H20" i="9"/>
  <c r="I20" i="9"/>
  <c r="H65" i="9"/>
  <c r="I65" i="9"/>
  <c r="H41" i="9"/>
  <c r="I41" i="9"/>
  <c r="H109" i="9"/>
  <c r="I109" i="9"/>
  <c r="H48" i="9"/>
  <c r="I48" i="9"/>
  <c r="H96" i="9"/>
  <c r="I96" i="9"/>
  <c r="H124" i="9"/>
  <c r="I124" i="9"/>
  <c r="H97" i="9"/>
  <c r="I97" i="9"/>
  <c r="H22" i="9"/>
  <c r="I22" i="9"/>
  <c r="H71" i="9"/>
  <c r="I71" i="9"/>
  <c r="H51" i="9"/>
  <c r="I51" i="9"/>
  <c r="H47" i="9"/>
  <c r="I47" i="9"/>
  <c r="H67" i="9"/>
  <c r="I67" i="9"/>
  <c r="H72" i="9"/>
  <c r="I72" i="9"/>
  <c r="H88" i="9"/>
  <c r="I88" i="9"/>
  <c r="H101" i="9"/>
  <c r="I101" i="9"/>
  <c r="H121" i="9"/>
  <c r="I121" i="9"/>
  <c r="H49" i="9"/>
  <c r="I49" i="9"/>
  <c r="H122" i="9"/>
  <c r="I122" i="9"/>
  <c r="H89" i="9"/>
  <c r="I89" i="9"/>
  <c r="H38" i="9"/>
  <c r="I38" i="9"/>
  <c r="H105" i="9"/>
  <c r="I105" i="9"/>
  <c r="H34" i="9"/>
  <c r="I34" i="9"/>
  <c r="H32" i="9"/>
  <c r="I32" i="9"/>
  <c r="H103" i="9"/>
  <c r="I103" i="9"/>
  <c r="H33" i="9"/>
  <c r="I33" i="9"/>
  <c r="H110" i="8"/>
  <c r="I110" i="8"/>
  <c r="I85" i="8"/>
  <c r="H85" i="8"/>
  <c r="I42" i="8"/>
  <c r="H42" i="8"/>
  <c r="I118" i="8"/>
  <c r="H118" i="8"/>
  <c r="H56" i="8"/>
  <c r="I56" i="8"/>
  <c r="I91" i="8"/>
  <c r="H91" i="8"/>
  <c r="H84" i="8"/>
  <c r="I84" i="8"/>
  <c r="I117" i="8"/>
  <c r="H117" i="8"/>
  <c r="I23" i="8"/>
  <c r="H23" i="8"/>
  <c r="H16" i="8"/>
  <c r="I16" i="8"/>
  <c r="I53" i="8"/>
  <c r="H53" i="8"/>
  <c r="H27" i="8"/>
  <c r="I27" i="8"/>
  <c r="H64" i="8"/>
  <c r="I64" i="8"/>
  <c r="I82" i="8"/>
  <c r="H82" i="8"/>
  <c r="I29" i="8"/>
  <c r="H29" i="8"/>
  <c r="I78" i="8"/>
  <c r="H78" i="8"/>
  <c r="I115" i="8"/>
  <c r="H115" i="8"/>
  <c r="I10" i="8"/>
  <c r="H10" i="8"/>
  <c r="H63" i="8"/>
  <c r="I63" i="8"/>
  <c r="H88" i="8"/>
  <c r="I88" i="8"/>
  <c r="I123" i="8"/>
  <c r="H123" i="8"/>
  <c r="H116" i="8"/>
  <c r="I116" i="8"/>
  <c r="I57" i="8"/>
  <c r="H57" i="8"/>
  <c r="I62" i="8"/>
  <c r="H62" i="8"/>
  <c r="H99" i="8"/>
  <c r="I99" i="8"/>
  <c r="I124" i="8"/>
  <c r="H124" i="8"/>
  <c r="I70" i="8"/>
  <c r="H70" i="8"/>
  <c r="I97" i="8"/>
  <c r="H97" i="8"/>
  <c r="H43" i="8"/>
  <c r="I43" i="8"/>
  <c r="I61" i="8"/>
  <c r="H61" i="8"/>
  <c r="H64" i="9"/>
  <c r="I64" i="9"/>
  <c r="H73" i="9"/>
  <c r="I73" i="9"/>
  <c r="H78" i="9"/>
  <c r="I78" i="9"/>
  <c r="H29" i="9"/>
  <c r="I29" i="9"/>
  <c r="H37" i="9"/>
  <c r="I37" i="9"/>
  <c r="H57" i="9"/>
  <c r="I57" i="9"/>
  <c r="H60" i="9"/>
  <c r="I60" i="9"/>
  <c r="H54" i="9"/>
  <c r="I54" i="9"/>
  <c r="H25" i="9"/>
  <c r="I25" i="9"/>
  <c r="H118" i="9"/>
  <c r="I118" i="9"/>
  <c r="H58" i="9"/>
  <c r="I58" i="9"/>
  <c r="H110" i="9"/>
  <c r="I110" i="9"/>
  <c r="H82" i="9"/>
  <c r="I82" i="9"/>
  <c r="H75" i="9"/>
  <c r="I75" i="9"/>
  <c r="H39" i="9"/>
  <c r="I39" i="9"/>
  <c r="H9" i="9"/>
  <c r="I9" i="9"/>
  <c r="H94" i="9"/>
  <c r="I94" i="9"/>
  <c r="H92" i="9"/>
  <c r="I92" i="9"/>
  <c r="H61" i="9"/>
  <c r="I61" i="9"/>
  <c r="H18" i="9"/>
  <c r="I18" i="9"/>
  <c r="H115" i="9"/>
  <c r="I115" i="9"/>
  <c r="H106" i="9"/>
  <c r="I106" i="9"/>
  <c r="H30" i="9"/>
  <c r="I30" i="9"/>
  <c r="H23" i="9"/>
  <c r="I23" i="9"/>
  <c r="H119" i="9"/>
  <c r="I119" i="9"/>
  <c r="H107" i="9"/>
  <c r="I107" i="9"/>
  <c r="H117" i="9"/>
  <c r="I117" i="9"/>
  <c r="H123" i="9"/>
  <c r="I123" i="9"/>
  <c r="H46" i="8"/>
  <c r="I46" i="8"/>
  <c r="I83" i="8"/>
  <c r="H83" i="8"/>
  <c r="I108" i="8"/>
  <c r="H108" i="8"/>
  <c r="I54" i="8"/>
  <c r="H54" i="8"/>
  <c r="H81" i="8"/>
  <c r="I81" i="8"/>
  <c r="I28" i="8"/>
  <c r="H28" i="8"/>
  <c r="I109" i="8"/>
  <c r="H109" i="8"/>
  <c r="H87" i="8"/>
  <c r="I87" i="8"/>
  <c r="H96" i="8"/>
  <c r="I96" i="8"/>
  <c r="H90" i="8"/>
  <c r="I90" i="8"/>
  <c r="I79" i="8"/>
  <c r="H79" i="8"/>
  <c r="H104" i="8"/>
  <c r="I104" i="8"/>
  <c r="I44" i="8"/>
  <c r="H44" i="8"/>
  <c r="I18" i="8"/>
  <c r="H18" i="8"/>
  <c r="I105" i="8"/>
  <c r="H105" i="8"/>
  <c r="H14" i="8"/>
  <c r="I14" i="8"/>
  <c r="I51" i="8"/>
  <c r="H51" i="8"/>
  <c r="I76" i="8"/>
  <c r="H76" i="8"/>
  <c r="I86" i="8"/>
  <c r="H86" i="8"/>
  <c r="I113" i="8"/>
  <c r="H113" i="8"/>
  <c r="I59" i="8"/>
  <c r="H59" i="8"/>
  <c r="H52" i="8"/>
  <c r="I52" i="8"/>
  <c r="I21" i="8"/>
  <c r="H21" i="8"/>
  <c r="I39" i="8"/>
  <c r="H39" i="8"/>
  <c r="H32" i="8"/>
  <c r="I32" i="8"/>
  <c r="I60" i="8"/>
  <c r="H60" i="8"/>
  <c r="H6" i="8"/>
  <c r="I6" i="8"/>
  <c r="I33" i="8"/>
  <c r="H33" i="8"/>
  <c r="I114" i="8"/>
  <c r="H114" i="8"/>
  <c r="H80" i="8"/>
  <c r="I80" i="8"/>
  <c r="H69" i="9"/>
  <c r="I69" i="9"/>
  <c r="H90" i="9"/>
  <c r="I90" i="9"/>
  <c r="H42" i="9"/>
  <c r="I42" i="9"/>
  <c r="H14" i="9"/>
  <c r="I14" i="9"/>
  <c r="H99" i="9"/>
  <c r="I99" i="9"/>
  <c r="H56" i="9"/>
  <c r="I56" i="9"/>
  <c r="H113" i="9"/>
  <c r="I113" i="9"/>
  <c r="H46" i="9"/>
  <c r="I46" i="9"/>
  <c r="H26" i="9"/>
  <c r="I26" i="9"/>
  <c r="H70" i="9"/>
  <c r="I70" i="9"/>
  <c r="H87" i="9"/>
  <c r="I87" i="9"/>
  <c r="H66" i="9"/>
  <c r="I66" i="9"/>
  <c r="H93" i="9"/>
  <c r="I93" i="9"/>
  <c r="H81" i="9"/>
  <c r="I81" i="9"/>
  <c r="H62" i="9"/>
  <c r="I62" i="9"/>
  <c r="F97" i="1"/>
  <c r="F98" i="1" s="1"/>
  <c r="F96" i="1"/>
  <c r="F81" i="1"/>
  <c r="F79" i="1"/>
  <c r="F80" i="1" s="1"/>
  <c r="F82" i="1"/>
  <c r="F95" i="1"/>
  <c r="F101" i="1" s="1"/>
  <c r="J114" i="8" l="1"/>
  <c r="L114" i="8" s="1"/>
  <c r="J32" i="8"/>
  <c r="L32" i="8" s="1"/>
  <c r="J21" i="8"/>
  <c r="L21" i="8" s="1"/>
  <c r="J59" i="8"/>
  <c r="L59" i="8" s="1"/>
  <c r="J86" i="8"/>
  <c r="L86" i="8" s="1"/>
  <c r="J51" i="8"/>
  <c r="L51" i="8" s="1"/>
  <c r="J105" i="8"/>
  <c r="L105" i="8" s="1"/>
  <c r="J44" i="8"/>
  <c r="L44" i="8" s="1"/>
  <c r="J79" i="8"/>
  <c r="L79" i="8" s="1"/>
  <c r="J96" i="8"/>
  <c r="L96" i="8" s="1"/>
  <c r="J109" i="8"/>
  <c r="L109" i="8" s="1"/>
  <c r="J107" i="9"/>
  <c r="L107" i="9" s="1"/>
  <c r="J23" i="9"/>
  <c r="L23" i="9" s="1"/>
  <c r="J18" i="9"/>
  <c r="L18" i="9" s="1"/>
  <c r="J92" i="9"/>
  <c r="L92" i="9" s="1"/>
  <c r="J9" i="9"/>
  <c r="L9" i="9" s="1"/>
  <c r="J75" i="9"/>
  <c r="L75" i="9" s="1"/>
  <c r="J110" i="9"/>
  <c r="L110" i="9" s="1"/>
  <c r="J118" i="9"/>
  <c r="L118" i="9" s="1"/>
  <c r="J54" i="9"/>
  <c r="L54" i="9" s="1"/>
  <c r="J57" i="9"/>
  <c r="L57" i="9" s="1"/>
  <c r="J29" i="9"/>
  <c r="L29" i="9" s="1"/>
  <c r="J73" i="9"/>
  <c r="L73" i="9" s="1"/>
  <c r="J124" i="8"/>
  <c r="L124" i="8" s="1"/>
  <c r="J116" i="8"/>
  <c r="L116" i="8" s="1"/>
  <c r="J88" i="8"/>
  <c r="L88" i="8" s="1"/>
  <c r="J27" i="8"/>
  <c r="L27" i="8" s="1"/>
  <c r="J33" i="9"/>
  <c r="L33" i="9" s="1"/>
  <c r="J32" i="9"/>
  <c r="L32" i="9" s="1"/>
  <c r="J105" i="9"/>
  <c r="L105" i="9" s="1"/>
  <c r="J89" i="9"/>
  <c r="L89" i="9" s="1"/>
  <c r="J49" i="9"/>
  <c r="L49" i="9" s="1"/>
  <c r="J101" i="9"/>
  <c r="L101" i="9" s="1"/>
  <c r="J72" i="9"/>
  <c r="L72" i="9" s="1"/>
  <c r="J47" i="9"/>
  <c r="L47" i="9" s="1"/>
  <c r="J71" i="9"/>
  <c r="L71" i="9" s="1"/>
  <c r="J33" i="8"/>
  <c r="L33" i="8" s="1"/>
  <c r="J39" i="8"/>
  <c r="L39" i="8" s="1"/>
  <c r="J113" i="8"/>
  <c r="L113" i="8" s="1"/>
  <c r="J18" i="8"/>
  <c r="L18" i="8" s="1"/>
  <c r="J28" i="8"/>
  <c r="L28" i="8" s="1"/>
  <c r="J54" i="8"/>
  <c r="L54" i="8" s="1"/>
  <c r="J83" i="8"/>
  <c r="L83" i="8" s="1"/>
  <c r="J123" i="9"/>
  <c r="L123" i="9" s="1"/>
  <c r="J117" i="9"/>
  <c r="L117" i="9" s="1"/>
  <c r="J119" i="9"/>
  <c r="L119" i="9" s="1"/>
  <c r="J30" i="9"/>
  <c r="L30" i="9" s="1"/>
  <c r="J115" i="9"/>
  <c r="L115" i="9" s="1"/>
  <c r="J61" i="9"/>
  <c r="L61" i="9" s="1"/>
  <c r="J39" i="9"/>
  <c r="L39" i="9" s="1"/>
  <c r="J82" i="9"/>
  <c r="L82" i="9" s="1"/>
  <c r="J58" i="9"/>
  <c r="L58" i="9" s="1"/>
  <c r="J97" i="9"/>
  <c r="L97" i="9" s="1"/>
  <c r="J96" i="9"/>
  <c r="L96" i="9" s="1"/>
  <c r="J109" i="9"/>
  <c r="L109" i="9" s="1"/>
  <c r="J65" i="9"/>
  <c r="L65" i="9" s="1"/>
  <c r="J16" i="9"/>
  <c r="L16" i="9" s="1"/>
  <c r="J86" i="9"/>
  <c r="L86" i="9" s="1"/>
  <c r="J24" i="9"/>
  <c r="L24" i="9" s="1"/>
  <c r="J68" i="9"/>
  <c r="L68" i="9" s="1"/>
  <c r="J100" i="8"/>
  <c r="L100" i="8" s="1"/>
  <c r="J58" i="8"/>
  <c r="L58" i="8" s="1"/>
  <c r="J55" i="8"/>
  <c r="L55" i="8" s="1"/>
  <c r="J38" i="8"/>
  <c r="L38" i="8" s="1"/>
  <c r="J9" i="8"/>
  <c r="L9" i="8" s="1"/>
  <c r="J27" i="9"/>
  <c r="L27" i="9" s="1"/>
  <c r="J17" i="9"/>
  <c r="L17" i="9" s="1"/>
  <c r="J45" i="9"/>
  <c r="L45" i="9" s="1"/>
  <c r="J76" i="9"/>
  <c r="L76" i="9" s="1"/>
  <c r="J85" i="9"/>
  <c r="L85" i="9" s="1"/>
  <c r="J79" i="9"/>
  <c r="L79" i="9" s="1"/>
  <c r="J108" i="9"/>
  <c r="L108" i="9" s="1"/>
  <c r="J21" i="9"/>
  <c r="L21" i="9" s="1"/>
  <c r="J104" i="9"/>
  <c r="L104" i="9" s="1"/>
  <c r="J12" i="9"/>
  <c r="L12" i="9" s="1"/>
  <c r="J98" i="9"/>
  <c r="L98" i="9" s="1"/>
  <c r="J28" i="9"/>
  <c r="L28" i="9" s="1"/>
  <c r="J7" i="9"/>
  <c r="L7" i="9" s="1"/>
  <c r="J102" i="9"/>
  <c r="L102" i="9" s="1"/>
  <c r="J122" i="8"/>
  <c r="L122" i="8" s="1"/>
  <c r="J119" i="8"/>
  <c r="L119" i="8" s="1"/>
  <c r="J8" i="8"/>
  <c r="L8" i="8" s="1"/>
  <c r="J45" i="8"/>
  <c r="L45" i="8" s="1"/>
  <c r="J31" i="8"/>
  <c r="L31" i="8" s="1"/>
  <c r="J25" i="9"/>
  <c r="L25" i="9" s="1"/>
  <c r="J60" i="9"/>
  <c r="L60" i="9" s="1"/>
  <c r="J37" i="9"/>
  <c r="L37" i="9" s="1"/>
  <c r="J78" i="9"/>
  <c r="L78" i="9" s="1"/>
  <c r="J64" i="9"/>
  <c r="L64" i="9" s="1"/>
  <c r="J43" i="8"/>
  <c r="L43" i="8" s="1"/>
  <c r="J99" i="8"/>
  <c r="L99" i="8" s="1"/>
  <c r="J63" i="8"/>
  <c r="L63" i="8" s="1"/>
  <c r="J64" i="8"/>
  <c r="L64" i="8" s="1"/>
  <c r="J84" i="8"/>
  <c r="L84" i="8" s="1"/>
  <c r="J56" i="8"/>
  <c r="L56" i="8" s="1"/>
  <c r="J110" i="8"/>
  <c r="L110" i="8" s="1"/>
  <c r="J103" i="9"/>
  <c r="L103" i="9" s="1"/>
  <c r="J34" i="9"/>
  <c r="L34" i="9" s="1"/>
  <c r="J38" i="9"/>
  <c r="L38" i="9" s="1"/>
  <c r="J122" i="9"/>
  <c r="L122" i="9" s="1"/>
  <c r="J121" i="9"/>
  <c r="L121" i="9" s="1"/>
  <c r="J88" i="9"/>
  <c r="L88" i="9" s="1"/>
  <c r="J67" i="9"/>
  <c r="L67" i="9" s="1"/>
  <c r="J51" i="9"/>
  <c r="L51" i="9" s="1"/>
  <c r="J22" i="9"/>
  <c r="L22" i="9" s="1"/>
  <c r="J124" i="9"/>
  <c r="L124" i="9" s="1"/>
  <c r="J41" i="9"/>
  <c r="L41" i="9" s="1"/>
  <c r="J20" i="9"/>
  <c r="L20" i="9" s="1"/>
  <c r="J116" i="9"/>
  <c r="L116" i="9" s="1"/>
  <c r="J15" i="9"/>
  <c r="L15" i="9" s="1"/>
  <c r="J13" i="9"/>
  <c r="L13" i="9" s="1"/>
  <c r="J112" i="9"/>
  <c r="L112" i="9" s="1"/>
  <c r="J36" i="8"/>
  <c r="L36" i="8" s="1"/>
  <c r="J65" i="8"/>
  <c r="L65" i="8" s="1"/>
  <c r="J92" i="8"/>
  <c r="L92" i="8" s="1"/>
  <c r="J120" i="8"/>
  <c r="L120" i="8" s="1"/>
  <c r="J114" i="9"/>
  <c r="L114" i="9" s="1"/>
  <c r="J100" i="9"/>
  <c r="L100" i="9" s="1"/>
  <c r="J84" i="9"/>
  <c r="L84" i="9" s="1"/>
  <c r="J43" i="9"/>
  <c r="L43" i="9" s="1"/>
  <c r="J55" i="9"/>
  <c r="L55" i="9" s="1"/>
  <c r="J6" i="9"/>
  <c r="L6" i="9" s="1"/>
  <c r="J80" i="9"/>
  <c r="L80" i="9" s="1"/>
  <c r="J36" i="9"/>
  <c r="L36" i="9" s="1"/>
  <c r="J19" i="9"/>
  <c r="L19" i="9" s="1"/>
  <c r="J44" i="9"/>
  <c r="L44" i="9" s="1"/>
  <c r="J63" i="9"/>
  <c r="L63" i="9" s="1"/>
  <c r="J8" i="9"/>
  <c r="L8" i="9" s="1"/>
  <c r="J5" i="8"/>
  <c r="L5" i="8" s="1"/>
  <c r="J15" i="8"/>
  <c r="L15" i="8" s="1"/>
  <c r="J94" i="8"/>
  <c r="L94" i="8" s="1"/>
  <c r="J35" i="8"/>
  <c r="L35" i="8" s="1"/>
  <c r="J24" i="8"/>
  <c r="L24" i="8" s="1"/>
  <c r="J77" i="9"/>
  <c r="L77" i="9" s="1"/>
  <c r="J62" i="9"/>
  <c r="L62" i="9" s="1"/>
  <c r="J93" i="9"/>
  <c r="L93" i="9" s="1"/>
  <c r="J87" i="9"/>
  <c r="L87" i="9" s="1"/>
  <c r="J26" i="9"/>
  <c r="L26" i="9" s="1"/>
  <c r="J113" i="9"/>
  <c r="L113" i="9" s="1"/>
  <c r="J99" i="9"/>
  <c r="L99" i="9" s="1"/>
  <c r="J42" i="9"/>
  <c r="L42" i="9" s="1"/>
  <c r="J69" i="9"/>
  <c r="L69" i="9" s="1"/>
  <c r="J6" i="8"/>
  <c r="L6" i="8" s="1"/>
  <c r="J81" i="8"/>
  <c r="L81" i="8" s="1"/>
  <c r="J108" i="8"/>
  <c r="L108" i="8" s="1"/>
  <c r="J46" i="8"/>
  <c r="L46" i="8" s="1"/>
  <c r="J94" i="9"/>
  <c r="L94" i="9" s="1"/>
  <c r="J70" i="8"/>
  <c r="L70" i="8" s="1"/>
  <c r="J57" i="8"/>
  <c r="L57" i="8" s="1"/>
  <c r="J123" i="8"/>
  <c r="L123" i="8" s="1"/>
  <c r="J115" i="8"/>
  <c r="L115" i="8" s="1"/>
  <c r="J29" i="8"/>
  <c r="L29" i="8" s="1"/>
  <c r="J53" i="8"/>
  <c r="L53" i="8" s="1"/>
  <c r="J23" i="8"/>
  <c r="L23" i="8" s="1"/>
  <c r="J42" i="8"/>
  <c r="L42" i="8" s="1"/>
  <c r="J48" i="9"/>
  <c r="L48" i="9" s="1"/>
  <c r="J107" i="8"/>
  <c r="L107" i="8" s="1"/>
  <c r="J47" i="8"/>
  <c r="L47" i="8" s="1"/>
  <c r="J73" i="8"/>
  <c r="L73" i="8" s="1"/>
  <c r="J13" i="8"/>
  <c r="L13" i="8" s="1"/>
  <c r="J89" i="8"/>
  <c r="L89" i="8" s="1"/>
  <c r="J48" i="8"/>
  <c r="L48" i="8" s="1"/>
  <c r="J93" i="8"/>
  <c r="L93" i="8" s="1"/>
  <c r="J30" i="8"/>
  <c r="L30" i="8" s="1"/>
  <c r="J34" i="8"/>
  <c r="L34" i="8" s="1"/>
  <c r="J106" i="8"/>
  <c r="L106" i="8" s="1"/>
  <c r="J103" i="8"/>
  <c r="L103" i="8" s="1"/>
  <c r="J74" i="9"/>
  <c r="L74" i="9" s="1"/>
  <c r="J25" i="8"/>
  <c r="L25" i="8" s="1"/>
  <c r="J41" i="8"/>
  <c r="L41" i="8" s="1"/>
  <c r="J111" i="8"/>
  <c r="L111" i="8" s="1"/>
  <c r="J7" i="8"/>
  <c r="L7" i="8" s="1"/>
  <c r="J77" i="8"/>
  <c r="L77" i="8" s="1"/>
  <c r="J49" i="8"/>
  <c r="L49" i="8" s="1"/>
  <c r="J69" i="8"/>
  <c r="L69" i="8" s="1"/>
  <c r="J75" i="8"/>
  <c r="L75" i="8" s="1"/>
  <c r="J102" i="8"/>
  <c r="L102" i="8" s="1"/>
  <c r="J37" i="8"/>
  <c r="L37" i="8" s="1"/>
  <c r="J17" i="8"/>
  <c r="L17" i="8" s="1"/>
  <c r="J101" i="8"/>
  <c r="L101" i="8" s="1"/>
  <c r="J52" i="9"/>
  <c r="L52" i="9" s="1"/>
  <c r="J31" i="9"/>
  <c r="L31" i="9" s="1"/>
  <c r="J35" i="9"/>
  <c r="L35" i="9" s="1"/>
  <c r="J83" i="9"/>
  <c r="L83" i="9" s="1"/>
  <c r="J91" i="9"/>
  <c r="L91" i="9" s="1"/>
  <c r="J120" i="9"/>
  <c r="L120" i="9" s="1"/>
  <c r="J10" i="9"/>
  <c r="L10" i="9" s="1"/>
  <c r="J81" i="9"/>
  <c r="L81" i="9" s="1"/>
  <c r="J66" i="9"/>
  <c r="L66" i="9" s="1"/>
  <c r="J70" i="9"/>
  <c r="L70" i="9" s="1"/>
  <c r="J46" i="9"/>
  <c r="L46" i="9" s="1"/>
  <c r="J56" i="9"/>
  <c r="L56" i="9" s="1"/>
  <c r="J14" i="9"/>
  <c r="L14" i="9" s="1"/>
  <c r="J90" i="9"/>
  <c r="L90" i="9" s="1"/>
  <c r="J80" i="8"/>
  <c r="L80" i="8" s="1"/>
  <c r="J60" i="8"/>
  <c r="L60" i="8" s="1"/>
  <c r="J52" i="8"/>
  <c r="L52" i="8" s="1"/>
  <c r="J76" i="8"/>
  <c r="L76" i="8" s="1"/>
  <c r="J14" i="8"/>
  <c r="L14" i="8" s="1"/>
  <c r="J104" i="8"/>
  <c r="L104" i="8" s="1"/>
  <c r="J90" i="8"/>
  <c r="L90" i="8" s="1"/>
  <c r="J87" i="8"/>
  <c r="L87" i="8" s="1"/>
  <c r="J106" i="9"/>
  <c r="L106" i="9" s="1"/>
  <c r="J61" i="8"/>
  <c r="L61" i="8" s="1"/>
  <c r="J97" i="8"/>
  <c r="L97" i="8" s="1"/>
  <c r="J62" i="8"/>
  <c r="L62" i="8" s="1"/>
  <c r="J10" i="8"/>
  <c r="L10" i="8" s="1"/>
  <c r="J78" i="8"/>
  <c r="L78" i="8" s="1"/>
  <c r="J82" i="8"/>
  <c r="L82" i="8" s="1"/>
  <c r="J16" i="8"/>
  <c r="L16" i="8" s="1"/>
  <c r="J117" i="8"/>
  <c r="L117" i="8" s="1"/>
  <c r="J91" i="8"/>
  <c r="L91" i="8" s="1"/>
  <c r="J118" i="8"/>
  <c r="L118" i="8" s="1"/>
  <c r="J85" i="8"/>
  <c r="L85" i="8" s="1"/>
  <c r="J72" i="8"/>
  <c r="L72" i="8" s="1"/>
  <c r="J66" i="8"/>
  <c r="L66" i="8" s="1"/>
  <c r="J19" i="8"/>
  <c r="L19" i="8" s="1"/>
  <c r="J74" i="8"/>
  <c r="L74" i="8" s="1"/>
  <c r="J71" i="8"/>
  <c r="L71" i="8" s="1"/>
  <c r="J20" i="8"/>
  <c r="L20" i="8" s="1"/>
  <c r="J67" i="8"/>
  <c r="L67" i="8" s="1"/>
  <c r="J121" i="8"/>
  <c r="L121" i="8" s="1"/>
  <c r="J95" i="8"/>
  <c r="L95" i="8" s="1"/>
  <c r="J112" i="8"/>
  <c r="L112" i="8" s="1"/>
  <c r="J50" i="8"/>
  <c r="L50" i="8" s="1"/>
  <c r="J11" i="8"/>
  <c r="L11" i="8" s="1"/>
  <c r="J12" i="8"/>
  <c r="L12" i="8" s="1"/>
  <c r="J22" i="8"/>
  <c r="L22" i="8" s="1"/>
  <c r="J68" i="8"/>
  <c r="L68" i="8" s="1"/>
  <c r="J40" i="8"/>
  <c r="L40" i="8" s="1"/>
  <c r="J26" i="8"/>
  <c r="L26" i="8" s="1"/>
  <c r="J98" i="8"/>
  <c r="L98" i="8" s="1"/>
  <c r="J11" i="9"/>
  <c r="L11" i="9" s="1"/>
  <c r="J40" i="9"/>
  <c r="L40" i="9" s="1"/>
  <c r="J59" i="9"/>
  <c r="L59" i="9" s="1"/>
  <c r="J50" i="9"/>
  <c r="L50" i="9" s="1"/>
  <c r="J53" i="9"/>
  <c r="L53" i="9" s="1"/>
  <c r="J111" i="9"/>
  <c r="L111" i="9" s="1"/>
  <c r="F83" i="1"/>
  <c r="F84" i="1" s="1"/>
  <c r="F100" i="1"/>
  <c r="F99" i="1"/>
  <c r="M4" i="9" l="1"/>
  <c r="M4" i="8"/>
  <c r="H2" i="1" s="1"/>
  <c r="F85" i="1"/>
  <c r="F86" i="1"/>
</calcChain>
</file>

<file path=xl/sharedStrings.xml><?xml version="1.0" encoding="utf-8"?>
<sst xmlns="http://schemas.openxmlformats.org/spreadsheetml/2006/main" count="224" uniqueCount="145">
  <si>
    <t>Scheibengenerator Berechnung V1.7</t>
  </si>
  <si>
    <t>1. Ladebeginn ausrechnen:</t>
  </si>
  <si>
    <t>Variablen einsetzen:</t>
  </si>
  <si>
    <t>Resultate:</t>
  </si>
  <si>
    <t>Einheit:</t>
  </si>
  <si>
    <t>Schnellaufzahl</t>
  </si>
  <si>
    <t>1. TSR (n)</t>
  </si>
  <si>
    <t>Umdrehungen/Minute</t>
  </si>
  <si>
    <t>RPM ( U / min)</t>
  </si>
  <si>
    <t>Windgeschw. (NUR für Ladebeginn)</t>
  </si>
  <si>
    <t>2. V (m/s)</t>
  </si>
  <si>
    <t>Durchmesser</t>
  </si>
  <si>
    <t>3. D (m)</t>
  </si>
  <si>
    <t>Umdrehungen/Sekunde</t>
  </si>
  <si>
    <t>RPS ( U / Sek)</t>
  </si>
  <si>
    <t>2. Geschwindigkeit der Spulen:</t>
  </si>
  <si>
    <t>Anzahl Spulen</t>
  </si>
  <si>
    <t>1. Spulen (n)</t>
  </si>
  <si>
    <t>Umfang in Loch-Mitte</t>
  </si>
  <si>
    <t>m</t>
  </si>
  <si>
    <t>Maße der Spule</t>
  </si>
  <si>
    <t>&gt; Radius bei Lochmitte</t>
  </si>
  <si>
    <t>mm</t>
  </si>
  <si>
    <t>Spulenlochlänge</t>
  </si>
  <si>
    <t>2. Länge(mm)</t>
  </si>
  <si>
    <t>Spulenlochbreite aussen</t>
  </si>
  <si>
    <t>3. Breite(mm)</t>
  </si>
  <si>
    <t>Geschw. In Mitte Spulenlöcher</t>
  </si>
  <si>
    <t>m/s</t>
  </si>
  <si>
    <t>Spulenlochbreite innen</t>
  </si>
  <si>
    <t>4. Breite(mm)</t>
  </si>
  <si>
    <t>Schenkelbreite (von oben gesehen)</t>
  </si>
  <si>
    <t>5. Breite(mm)</t>
  </si>
  <si>
    <t>Abstand zw. Spulen</t>
  </si>
  <si>
    <t>6. Abstand (mm)</t>
  </si>
  <si>
    <t>Abstand Spulenende zu Statorrand</t>
  </si>
  <si>
    <t xml:space="preserve">7. Abstand (mm) </t>
  </si>
  <si>
    <t>Statordurchmesser</t>
  </si>
  <si>
    <t>cm</t>
  </si>
  <si>
    <t>Magnetscheibendurchmesser</t>
  </si>
  <si>
    <t>(Nur Annäherungswerte)</t>
  </si>
  <si>
    <t>3. Magnetische Flussdichte:</t>
  </si>
  <si>
    <t>N52</t>
  </si>
  <si>
    <t>N50</t>
  </si>
  <si>
    <t>Dicke Magnet</t>
  </si>
  <si>
    <t>1. Dicke (mm)</t>
  </si>
  <si>
    <t>N48</t>
  </si>
  <si>
    <t>Luftspalt zwischen Magneten</t>
  </si>
  <si>
    <t>2. Abstand (mm)</t>
  </si>
  <si>
    <t>&gt;&gt; Max 2xMagnetdicke !</t>
  </si>
  <si>
    <t>N45</t>
  </si>
  <si>
    <t>Wertigkeit Magnet</t>
  </si>
  <si>
    <t>3. Grad ( Tesla)</t>
  </si>
  <si>
    <t>Magnetische Flussdichte:</t>
  </si>
  <si>
    <t>Tesla</t>
  </si>
  <si>
    <t>N42</t>
  </si>
  <si>
    <t>N40</t>
  </si>
  <si>
    <t>4. Anzahl der benötigten Wicklungen:</t>
  </si>
  <si>
    <t>Systemspannung (12V,24V,48V,240V,...)</t>
  </si>
  <si>
    <t>1. Spannung (Volt)</t>
  </si>
  <si>
    <t>Breite Magnet</t>
  </si>
  <si>
    <t>Länge Magnet</t>
  </si>
  <si>
    <t>4. Länge(mm)</t>
  </si>
  <si>
    <t>Anzahl Magnet-Pole</t>
  </si>
  <si>
    <t>5. Magnetpole (n)</t>
  </si>
  <si>
    <t>Anzahl Phasen</t>
  </si>
  <si>
    <t>6. Phasen (n)</t>
  </si>
  <si>
    <t>a) Sternschaltung (Y)</t>
  </si>
  <si>
    <t>Anzahl Wicklungen/Spule</t>
  </si>
  <si>
    <t>Wicklungen</t>
  </si>
  <si>
    <t>b) Dreieckschaltung (D)</t>
  </si>
  <si>
    <t>5. Spulenschenkeldicke (Höhe)</t>
  </si>
  <si>
    <t>Drahtdurchmesser</t>
  </si>
  <si>
    <t>1. D (mm)</t>
  </si>
  <si>
    <t>Packdichte</t>
  </si>
  <si>
    <t>2. Dichte(Faktor)</t>
  </si>
  <si>
    <t>Drähte in Hand</t>
  </si>
  <si>
    <t>3. Anzahl (n)</t>
  </si>
  <si>
    <t>Schichtdicke Laminat über den Spulen</t>
  </si>
  <si>
    <t>4. Dicke (mm)</t>
  </si>
  <si>
    <t>(je Statorseite)</t>
  </si>
  <si>
    <t>Ohm</t>
  </si>
  <si>
    <t>Abstand zwischen Stator und Magneten</t>
  </si>
  <si>
    <t>5. Abstand (mm)</t>
  </si>
  <si>
    <t>U/min</t>
  </si>
  <si>
    <t>Dicke(Höhe)</t>
  </si>
  <si>
    <t>V</t>
  </si>
  <si>
    <t>wenn rot, dann zu dick !</t>
  </si>
  <si>
    <t>A</t>
  </si>
  <si>
    <t>Leistung Rotor</t>
  </si>
  <si>
    <t>Dicke(Höhe) max.</t>
  </si>
  <si>
    <t>6. Drahtlänge:</t>
  </si>
  <si>
    <t>%</t>
  </si>
  <si>
    <t>Drahtlänge/Spule</t>
  </si>
  <si>
    <t>Gesamtlänge aller Spulen</t>
  </si>
  <si>
    <t>Gesamtgewicht aller Spulen</t>
  </si>
  <si>
    <t>g</t>
  </si>
  <si>
    <t>7. Innenwiderstand</t>
  </si>
  <si>
    <t>Spezifischer Widerstand des Drahtes</t>
  </si>
  <si>
    <t>1. Widerstand (ohm)</t>
  </si>
  <si>
    <t>Gesamtinnenwiderstand</t>
  </si>
  <si>
    <t>8. Leistung / Wirkungsgrad:</t>
  </si>
  <si>
    <t>(gilt nur für den Fall von Batterieladung)</t>
  </si>
  <si>
    <t>Luftdichte</t>
  </si>
  <si>
    <t>Kg/m' 3</t>
  </si>
  <si>
    <t>Watt</t>
  </si>
  <si>
    <t>Rotorwirkungsgrad</t>
  </si>
  <si>
    <t>Ladestrom vor Gleichrichter</t>
  </si>
  <si>
    <t>Spannungsabfall Gleichrichter</t>
  </si>
  <si>
    <t>Leistung Generator</t>
  </si>
  <si>
    <t>Windgeschwindigkeit (für Leistungsber.)</t>
  </si>
  <si>
    <t>Wirkungsgrad Generator</t>
  </si>
  <si>
    <t>Verlustleistung Generator</t>
  </si>
  <si>
    <t>Verluste durch Gleichrichter</t>
  </si>
  <si>
    <t>Ladeleistung an Batterie</t>
  </si>
  <si>
    <t>Ladestrom nach Gleichrichter</t>
  </si>
  <si>
    <t>Wirk-grad Gen +Gleichrichter</t>
  </si>
  <si>
    <t>Gesamtwirkungsgrad Anlage</t>
  </si>
  <si>
    <t>Wirbelstromverluste</t>
  </si>
  <si>
    <t>Leistung inkl. Wirbelströme</t>
  </si>
  <si>
    <t>Drehzahl bei Windgeschwindigkeit</t>
  </si>
  <si>
    <t>Querschnitt</t>
  </si>
  <si>
    <t>zulässige Stromdichte [A/mm²]</t>
  </si>
  <si>
    <t>max. Strom</t>
  </si>
  <si>
    <t>AC</t>
  </si>
  <si>
    <t>DC</t>
  </si>
  <si>
    <t>parallel</t>
  </si>
  <si>
    <t>Kontrolle Luftspalt</t>
  </si>
  <si>
    <t>Jahresertrag [kWh]</t>
  </si>
  <si>
    <t>A [m/s]</t>
  </si>
  <si>
    <t>k</t>
  </si>
  <si>
    <t>Weibull Ertrag [kWh]</t>
  </si>
  <si>
    <t>N38</t>
  </si>
  <si>
    <t>N35</t>
  </si>
  <si>
    <t>v [m/s]</t>
  </si>
  <si>
    <t>w [rpm]</t>
  </si>
  <si>
    <t>U [V]</t>
  </si>
  <si>
    <t>Pmech [W]</t>
  </si>
  <si>
    <t>Pv,wirbel</t>
  </si>
  <si>
    <t>I [A]</t>
  </si>
  <si>
    <t>Pv,gen</t>
  </si>
  <si>
    <t>Pv,gleichr</t>
  </si>
  <si>
    <t>Plade [W]</t>
  </si>
  <si>
    <t>Weibull Wahrscheinlichkeit</t>
  </si>
  <si>
    <t>Protor [W]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</si>
</sst>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53"/>
      </patternFill>
    </fill>
    <fill>
      <patternFill patternType="solid">
        <fgColor indexed="43"/>
        <bgColor indexed="26"/>
      </patternFill>
    </fill>
    <fill>
      <patternFill patternType="solid">
        <fgColor indexed="15"/>
        <bgColor indexed="35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2" borderId="1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4" borderId="4" xfId="0" applyFill="1" applyBorder="1"/>
    <xf numFmtId="0" fontId="1" fillId="5" borderId="5" xfId="0" applyFont="1" applyFill="1" applyBorder="1"/>
    <xf numFmtId="0" fontId="0" fillId="4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ont="1" applyFill="1" applyBorder="1"/>
    <xf numFmtId="0" fontId="1" fillId="3" borderId="11" xfId="0" applyFont="1" applyFill="1" applyBorder="1"/>
    <xf numFmtId="0" fontId="0" fillId="4" borderId="0" xfId="0" applyFont="1" applyFill="1" applyAlignment="1">
      <alignment horizontal="right"/>
    </xf>
    <xf numFmtId="0" fontId="1" fillId="3" borderId="13" xfId="0" applyFont="1" applyFill="1" applyBorder="1"/>
    <xf numFmtId="0" fontId="0" fillId="4" borderId="14" xfId="0" applyFont="1" applyFill="1" applyBorder="1"/>
    <xf numFmtId="0" fontId="1" fillId="3" borderId="15" xfId="0" applyFont="1" applyFill="1" applyBorder="1"/>
    <xf numFmtId="2" fontId="0" fillId="5" borderId="12" xfId="0" applyNumberFormat="1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3" fillId="2" borderId="7" xfId="0" applyFont="1" applyFill="1" applyBorder="1"/>
    <xf numFmtId="0" fontId="4" fillId="6" borderId="0" xfId="0" applyFont="1" applyFill="1"/>
    <xf numFmtId="0" fontId="4" fillId="6" borderId="9" xfId="0" applyFont="1" applyFill="1" applyBorder="1"/>
    <xf numFmtId="0" fontId="0" fillId="0" borderId="0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0" fontId="0" fillId="6" borderId="10" xfId="0" applyFont="1" applyFill="1" applyBorder="1"/>
    <xf numFmtId="0" fontId="0" fillId="6" borderId="19" xfId="0" applyFont="1" applyFill="1" applyBorder="1"/>
    <xf numFmtId="0" fontId="1" fillId="3" borderId="12" xfId="0" applyFont="1" applyFill="1" applyBorder="1"/>
    <xf numFmtId="0" fontId="0" fillId="6" borderId="0" xfId="0" applyFont="1" applyFill="1" applyAlignment="1">
      <alignment horizontal="right"/>
    </xf>
    <xf numFmtId="0" fontId="1" fillId="6" borderId="7" xfId="0" applyFont="1" applyFill="1" applyBorder="1"/>
    <xf numFmtId="0" fontId="0" fillId="6" borderId="0" xfId="0" applyFill="1" applyBorder="1"/>
    <xf numFmtId="2" fontId="0" fillId="5" borderId="15" xfId="0" applyNumberFormat="1" applyFill="1" applyBorder="1"/>
    <xf numFmtId="0" fontId="0" fillId="6" borderId="20" xfId="0" applyFont="1" applyFill="1" applyBorder="1"/>
    <xf numFmtId="2" fontId="0" fillId="6" borderId="0" xfId="0" applyNumberFormat="1" applyFill="1"/>
    <xf numFmtId="0" fontId="0" fillId="6" borderId="21" xfId="0" applyFont="1" applyFill="1" applyBorder="1"/>
    <xf numFmtId="2" fontId="0" fillId="5" borderId="11" xfId="0" applyNumberFormat="1" applyFill="1" applyBorder="1"/>
    <xf numFmtId="0" fontId="0" fillId="6" borderId="22" xfId="0" applyFont="1" applyFill="1" applyBorder="1"/>
    <xf numFmtId="0" fontId="0" fillId="0" borderId="0" xfId="0" applyBorder="1"/>
    <xf numFmtId="0" fontId="0" fillId="6" borderId="0" xfId="0" applyFont="1" applyFill="1" applyBorder="1" applyAlignment="1">
      <alignment horizontal="right"/>
    </xf>
    <xf numFmtId="0" fontId="0" fillId="6" borderId="17" xfId="0" applyFill="1" applyBorder="1"/>
    <xf numFmtId="0" fontId="0" fillId="6" borderId="17" xfId="0" applyFont="1" applyFill="1" applyBorder="1" applyAlignment="1">
      <alignment horizontal="right"/>
    </xf>
    <xf numFmtId="0" fontId="0" fillId="6" borderId="18" xfId="0" applyFill="1" applyBorder="1"/>
    <xf numFmtId="0" fontId="0" fillId="8" borderId="23" xfId="0" applyFont="1" applyFill="1" applyBorder="1"/>
    <xf numFmtId="0" fontId="0" fillId="8" borderId="24" xfId="0" applyFill="1" applyBorder="1"/>
    <xf numFmtId="0" fontId="0" fillId="4" borderId="0" xfId="0" applyFill="1" applyBorder="1"/>
    <xf numFmtId="0" fontId="0" fillId="8" borderId="25" xfId="0" applyFont="1" applyFill="1" applyBorder="1"/>
    <xf numFmtId="0" fontId="0" fillId="8" borderId="26" xfId="0" applyFill="1" applyBorder="1"/>
    <xf numFmtId="0" fontId="1" fillId="4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right"/>
    </xf>
    <xf numFmtId="0" fontId="0" fillId="5" borderId="12" xfId="0" applyFill="1" applyBorder="1"/>
    <xf numFmtId="0" fontId="0" fillId="4" borderId="27" xfId="0" applyFill="1" applyBorder="1"/>
    <xf numFmtId="0" fontId="0" fillId="8" borderId="28" xfId="0" applyFont="1" applyFill="1" applyBorder="1"/>
    <xf numFmtId="0" fontId="0" fillId="8" borderId="29" xfId="0" applyFill="1" applyBorder="1"/>
    <xf numFmtId="0" fontId="0" fillId="6" borderId="30" xfId="0" applyFill="1" applyBorder="1"/>
    <xf numFmtId="0" fontId="0" fillId="0" borderId="0" xfId="0" applyNumberFormat="1"/>
    <xf numFmtId="0" fontId="0" fillId="6" borderId="14" xfId="0" applyFont="1" applyFill="1" applyBorder="1"/>
    <xf numFmtId="1" fontId="0" fillId="6" borderId="0" xfId="0" applyNumberFormat="1" applyFill="1"/>
    <xf numFmtId="0" fontId="0" fillId="9" borderId="7" xfId="0" applyFont="1" applyFill="1" applyBorder="1"/>
    <xf numFmtId="1" fontId="0" fillId="5" borderId="12" xfId="0" applyNumberFormat="1" applyFill="1" applyBorder="1"/>
    <xf numFmtId="0" fontId="0" fillId="0" borderId="0" xfId="0" applyNumberFormat="1" applyFont="1"/>
    <xf numFmtId="0" fontId="0" fillId="6" borderId="31" xfId="0" applyFill="1" applyBorder="1"/>
    <xf numFmtId="0" fontId="0" fillId="6" borderId="16" xfId="0" applyFill="1" applyBorder="1"/>
    <xf numFmtId="0" fontId="1" fillId="4" borderId="7" xfId="0" applyFont="1" applyFill="1" applyBorder="1"/>
    <xf numFmtId="2" fontId="1" fillId="7" borderId="12" xfId="0" applyNumberFormat="1" applyFont="1" applyFill="1" applyBorder="1"/>
    <xf numFmtId="0" fontId="5" fillId="4" borderId="9" xfId="0" applyFont="1" applyFill="1" applyBorder="1"/>
    <xf numFmtId="0" fontId="1" fillId="4" borderId="21" xfId="0" applyFont="1" applyFill="1" applyBorder="1"/>
    <xf numFmtId="2" fontId="0" fillId="5" borderId="13" xfId="0" applyNumberFormat="1" applyFill="1" applyBorder="1"/>
    <xf numFmtId="2" fontId="0" fillId="6" borderId="0" xfId="0" applyNumberFormat="1" applyFill="1" applyBorder="1"/>
    <xf numFmtId="0" fontId="0" fillId="4" borderId="32" xfId="0" applyFont="1" applyFill="1" applyBorder="1"/>
    <xf numFmtId="0" fontId="1" fillId="3" borderId="33" xfId="0" applyFont="1" applyFill="1" applyBorder="1"/>
    <xf numFmtId="0" fontId="0" fillId="4" borderId="21" xfId="0" applyFont="1" applyFill="1" applyBorder="1"/>
    <xf numFmtId="0" fontId="0" fillId="9" borderId="8" xfId="0" applyFont="1" applyFill="1" applyBorder="1"/>
    <xf numFmtId="0" fontId="0" fillId="6" borderId="7" xfId="0" applyFont="1" applyFill="1" applyBorder="1"/>
    <xf numFmtId="2" fontId="1" fillId="3" borderId="11" xfId="0" applyNumberFormat="1" applyFont="1" applyFill="1" applyBorder="1" applyAlignment="1">
      <alignment horizontal="left"/>
    </xf>
    <xf numFmtId="0" fontId="0" fillId="6" borderId="0" xfId="0" applyFont="1" applyFill="1" applyBorder="1"/>
    <xf numFmtId="165" fontId="0" fillId="5" borderId="11" xfId="0" applyNumberFormat="1" applyFont="1" applyFill="1" applyBorder="1" applyAlignment="1">
      <alignment horizontal="right"/>
    </xf>
    <xf numFmtId="2" fontId="1" fillId="3" borderId="13" xfId="0" applyNumberFormat="1" applyFont="1" applyFill="1" applyBorder="1" applyAlignment="1">
      <alignment horizontal="left"/>
    </xf>
    <xf numFmtId="165" fontId="0" fillId="5" borderId="13" xfId="0" applyNumberFormat="1" applyFont="1" applyFill="1" applyBorder="1" applyAlignment="1">
      <alignment horizontal="right"/>
    </xf>
    <xf numFmtId="0" fontId="1" fillId="6" borderId="0" xfId="0" applyFont="1" applyFill="1" applyBorder="1"/>
    <xf numFmtId="165" fontId="1" fillId="5" borderId="13" xfId="0" applyNumberFormat="1" applyFont="1" applyFill="1" applyBorder="1" applyAlignment="1">
      <alignment horizontal="right"/>
    </xf>
    <xf numFmtId="2" fontId="1" fillId="3" borderId="15" xfId="0" applyNumberFormat="1" applyFont="1" applyFill="1" applyBorder="1" applyAlignment="1">
      <alignment horizontal="left"/>
    </xf>
    <xf numFmtId="165" fontId="6" fillId="5" borderId="13" xfId="0" applyNumberFormat="1" applyFont="1" applyFill="1" applyBorder="1" applyAlignment="1">
      <alignment horizontal="right"/>
    </xf>
    <xf numFmtId="0" fontId="0" fillId="0" borderId="34" xfId="0" applyBorder="1"/>
    <xf numFmtId="0" fontId="0" fillId="0" borderId="35" xfId="0" applyBorder="1"/>
    <xf numFmtId="2" fontId="0" fillId="6" borderId="9" xfId="0" applyNumberFormat="1" applyFill="1" applyBorder="1"/>
    <xf numFmtId="0" fontId="0" fillId="0" borderId="36" xfId="0" applyBorder="1"/>
    <xf numFmtId="165" fontId="0" fillId="5" borderId="15" xfId="0" applyNumberFormat="1" applyFont="1" applyFill="1" applyBorder="1" applyAlignment="1">
      <alignment horizontal="right"/>
    </xf>
    <xf numFmtId="2" fontId="0" fillId="6" borderId="0" xfId="0" applyNumberFormat="1" applyFont="1" applyFill="1" applyBorder="1" applyAlignment="1">
      <alignment horizontal="left"/>
    </xf>
    <xf numFmtId="0" fontId="0" fillId="6" borderId="8" xfId="0" applyFont="1" applyFill="1" applyBorder="1"/>
    <xf numFmtId="0" fontId="0" fillId="6" borderId="17" xfId="0" applyFont="1" applyFill="1" applyBorder="1"/>
    <xf numFmtId="165" fontId="0" fillId="6" borderId="17" xfId="0" applyNumberFormat="1" applyFont="1" applyFill="1" applyBorder="1" applyAlignment="1">
      <alignment horizontal="right"/>
    </xf>
    <xf numFmtId="0" fontId="0" fillId="0" borderId="9" xfId="0" applyBorder="1"/>
    <xf numFmtId="0" fontId="7" fillId="6" borderId="7" xfId="0" applyFont="1" applyFill="1" applyBorder="1"/>
    <xf numFmtId="164" fontId="0" fillId="5" borderId="11" xfId="0" applyNumberFormat="1" applyFill="1" applyBorder="1"/>
    <xf numFmtId="165" fontId="1" fillId="5" borderId="15" xfId="0" applyNumberFormat="1" applyFont="1" applyFill="1" applyBorder="1" applyAlignment="1">
      <alignment horizontal="right"/>
    </xf>
    <xf numFmtId="0" fontId="0" fillId="6" borderId="14" xfId="0" applyNumberFormat="1" applyFont="1" applyFill="1" applyBorder="1"/>
    <xf numFmtId="165" fontId="1" fillId="3" borderId="12" xfId="0" applyNumberFormat="1" applyFont="1" applyFill="1" applyBorder="1" applyAlignment="1">
      <alignment horizontal="left"/>
    </xf>
    <xf numFmtId="0" fontId="3" fillId="2" borderId="37" xfId="0" applyFont="1" applyFill="1" applyBorder="1"/>
    <xf numFmtId="0" fontId="1" fillId="4" borderId="38" xfId="0" applyFont="1" applyFill="1" applyBorder="1"/>
    <xf numFmtId="0" fontId="0" fillId="6" borderId="39" xfId="0" applyFill="1" applyBorder="1"/>
    <xf numFmtId="0" fontId="0" fillId="6" borderId="0" xfId="0" applyNumberFormat="1" applyFont="1" applyFill="1" applyBorder="1"/>
    <xf numFmtId="0" fontId="0" fillId="4" borderId="0" xfId="0" applyFill="1" applyAlignment="1">
      <alignment horizontal="right" indent="1"/>
    </xf>
    <xf numFmtId="0" fontId="0" fillId="0" borderId="0" xfId="0" applyAlignment="1">
      <alignment wrapText="1"/>
    </xf>
    <xf numFmtId="2" fontId="0" fillId="10" borderId="12" xfId="0" applyNumberFormat="1" applyFill="1" applyBorder="1"/>
    <xf numFmtId="165" fontId="1" fillId="0" borderId="0" xfId="0" applyNumberFormat="1" applyFont="1"/>
    <xf numFmtId="4" fontId="0" fillId="5" borderId="15" xfId="0" applyNumberFormat="1" applyFill="1" applyBorder="1"/>
    <xf numFmtId="2" fontId="0" fillId="8" borderId="26" xfId="0" applyNumberFormat="1" applyFill="1" applyBorder="1"/>
    <xf numFmtId="165" fontId="0" fillId="5" borderId="12" xfId="0" applyNumberFormat="1" applyFill="1" applyBorder="1"/>
    <xf numFmtId="2" fontId="1" fillId="5" borderId="12" xfId="0" applyNumberFormat="1" applyFont="1" applyFill="1" applyBorder="1"/>
    <xf numFmtId="2" fontId="1" fillId="5" borderId="11" xfId="0" applyNumberFormat="1" applyFont="1" applyFill="1" applyBorder="1"/>
    <xf numFmtId="2" fontId="1" fillId="5" borderId="13" xfId="0" applyNumberFormat="1" applyFont="1" applyFill="1" applyBorder="1"/>
    <xf numFmtId="4" fontId="1" fillId="5" borderId="15" xfId="0" applyNumberFormat="1" applyFont="1" applyFill="1" applyBorder="1"/>
    <xf numFmtId="1" fontId="1" fillId="5" borderId="12" xfId="0" applyNumberFormat="1" applyFont="1" applyFill="1" applyBorder="1"/>
    <xf numFmtId="2" fontId="0" fillId="7" borderId="12" xfId="0" applyNumberFormat="1" applyFont="1" applyFill="1" applyBorder="1"/>
    <xf numFmtId="165" fontId="0" fillId="5" borderId="12" xfId="0" applyNumberFormat="1" applyFont="1" applyFill="1" applyBorder="1"/>
    <xf numFmtId="165" fontId="0" fillId="0" borderId="0" xfId="0" applyNumberFormat="1"/>
    <xf numFmtId="1" fontId="0" fillId="0" borderId="0" xfId="0" applyNumberFormat="1"/>
    <xf numFmtId="0" fontId="0" fillId="4" borderId="18" xfId="0" applyFill="1" applyBorder="1" applyAlignment="1">
      <alignment horizontal="right"/>
    </xf>
    <xf numFmtId="0" fontId="0" fillId="0" borderId="40" xfId="0" applyBorder="1"/>
    <xf numFmtId="1" fontId="1" fillId="3" borderId="13" xfId="0" applyNumberFormat="1" applyFont="1" applyFill="1" applyBorder="1"/>
    <xf numFmtId="0" fontId="8" fillId="11" borderId="0" xfId="0" applyFont="1" applyFill="1" applyAlignment="1">
      <alignment horizontal="left" vertical="center"/>
    </xf>
    <xf numFmtId="0" fontId="1" fillId="11" borderId="0" xfId="0" applyFont="1" applyFill="1"/>
    <xf numFmtId="0" fontId="1" fillId="12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8" fillId="12" borderId="0" xfId="0" applyFont="1" applyFill="1" applyAlignment="1">
      <alignment horizontal="left" vertical="center"/>
    </xf>
    <xf numFmtId="165" fontId="0" fillId="0" borderId="0" xfId="0" applyNumberFormat="1" applyFont="1" applyAlignment="1">
      <alignment horizontal="center" vertical="center"/>
    </xf>
    <xf numFmtId="2" fontId="0" fillId="10" borderId="12" xfId="0" applyNumberFormat="1" applyFont="1" applyFill="1" applyBorder="1"/>
    <xf numFmtId="1" fontId="1" fillId="3" borderId="11" xfId="0" applyNumberFormat="1" applyFont="1" applyFill="1" applyBorder="1"/>
    <xf numFmtId="0" fontId="0" fillId="4" borderId="38" xfId="0" applyFont="1" applyFill="1" applyBorder="1"/>
    <xf numFmtId="1" fontId="0" fillId="0" borderId="0" xfId="0" applyNumberFormat="1" applyAlignment="1">
      <alignment horizontal="center"/>
    </xf>
  </cellXfs>
  <cellStyles count="1">
    <cellStyle name="Standard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AECF00"/>
      <rgbColor rgb="00FF9900"/>
      <rgbColor rgb="00FF95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5594720677352"/>
          <c:y val="7.052498515055057E-2"/>
          <c:w val="0.81572224909270208"/>
          <c:h val="0.79174948719645344"/>
        </c:manualLayout>
      </c:layout>
      <c:scatterChart>
        <c:scatterStyle val="smoothMarker"/>
        <c:varyColors val="0"/>
        <c:ser>
          <c:idx val="0"/>
          <c:order val="0"/>
          <c:tx>
            <c:v>Leistung Rotor</c:v>
          </c:tx>
          <c:marker>
            <c:symbol val="none"/>
          </c:marker>
          <c:xVal>
            <c:numRef>
              <c:f>Stern!$A$4:$A$124</c:f>
              <c:numCache>
                <c:formatCode>0.0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</c:numCache>
            </c:numRef>
          </c:xVal>
          <c:yVal>
            <c:numRef>
              <c:f>Stern!$E$4:$E$124</c:f>
              <c:numCache>
                <c:formatCode>0.0</c:formatCode>
                <c:ptCount val="121"/>
                <c:pt idx="0">
                  <c:v>0</c:v>
                </c:pt>
                <c:pt idx="1">
                  <c:v>6.0860503681668277E-3</c:v>
                </c:pt>
                <c:pt idx="2">
                  <c:v>4.8688402945334622E-2</c:v>
                </c:pt>
                <c:pt idx="3">
                  <c:v>0.16432335994050437</c:v>
                </c:pt>
                <c:pt idx="4">
                  <c:v>0.38950722356267697</c:v>
                </c:pt>
                <c:pt idx="5">
                  <c:v>0.76075629602085326</c:v>
                </c:pt>
                <c:pt idx="6">
                  <c:v>1.3145868795240343</c:v>
                </c:pt>
                <c:pt idx="7">
                  <c:v>2.0875152762812208</c:v>
                </c:pt>
                <c:pt idx="8">
                  <c:v>3.1160577885014145</c:v>
                </c:pt>
                <c:pt idx="9">
                  <c:v>4.4367307183936155</c:v>
                </c:pt>
                <c:pt idx="10">
                  <c:v>6.0860503681668243</c:v>
                </c:pt>
                <c:pt idx="11">
                  <c:v>8.1005330400300437</c:v>
                </c:pt>
                <c:pt idx="12">
                  <c:v>10.516695036192274</c:v>
                </c:pt>
                <c:pt idx="13">
                  <c:v>13.371052658862522</c:v>
                </c:pt>
                <c:pt idx="14">
                  <c:v>16.700122210249777</c:v>
                </c:pt>
                <c:pt idx="15">
                  <c:v>20.540419992563052</c:v>
                </c:pt>
                <c:pt idx="16">
                  <c:v>24.928462308011333</c:v>
                </c:pt>
                <c:pt idx="17">
                  <c:v>29.900765458803644</c:v>
                </c:pt>
                <c:pt idx="18">
                  <c:v>35.49384574714896</c:v>
                </c:pt>
                <c:pt idx="19">
                  <c:v>41.744219475256294</c:v>
                </c:pt>
                <c:pt idx="20">
                  <c:v>48.688402945334644</c:v>
                </c:pt>
                <c:pt idx="21">
                  <c:v>56.362912459593019</c:v>
                </c:pt>
                <c:pt idx="22">
                  <c:v>64.804264320240421</c:v>
                </c:pt>
                <c:pt idx="23">
                  <c:v>74.048974829485857</c:v>
                </c:pt>
                <c:pt idx="24">
                  <c:v>84.133560289538295</c:v>
                </c:pt>
                <c:pt idx="25">
                  <c:v>95.094537002606771</c:v>
                </c:pt>
                <c:pt idx="26">
                  <c:v>106.96842127090027</c:v>
                </c:pt>
                <c:pt idx="27">
                  <c:v>119.7917293966278</c:v>
                </c:pt>
                <c:pt idx="28">
                  <c:v>133.60097768199833</c:v>
                </c:pt>
                <c:pt idx="29">
                  <c:v>148.4326824292209</c:v>
                </c:pt>
                <c:pt idx="30">
                  <c:v>164.32335994050447</c:v>
                </c:pt>
                <c:pt idx="31">
                  <c:v>181.30952651805819</c:v>
                </c:pt>
                <c:pt idx="32">
                  <c:v>199.42769846409087</c:v>
                </c:pt>
                <c:pt idx="33">
                  <c:v>218.71439208081159</c:v>
                </c:pt>
                <c:pt idx="34">
                  <c:v>239.20612367042932</c:v>
                </c:pt>
                <c:pt idx="35">
                  <c:v>260.93940953515312</c:v>
                </c:pt>
                <c:pt idx="36">
                  <c:v>283.95076597719185</c:v>
                </c:pt>
                <c:pt idx="37">
                  <c:v>308.27670929875478</c:v>
                </c:pt>
                <c:pt idx="38">
                  <c:v>333.95375580205058</c:v>
                </c:pt>
                <c:pt idx="39">
                  <c:v>361.01842178928854</c:v>
                </c:pt>
                <c:pt idx="40">
                  <c:v>389.50722356267738</c:v>
                </c:pt>
                <c:pt idx="41">
                  <c:v>419.4566774244264</c:v>
                </c:pt>
                <c:pt idx="42">
                  <c:v>450.90329967674415</c:v>
                </c:pt>
                <c:pt idx="43">
                  <c:v>483.8836066218401</c:v>
                </c:pt>
                <c:pt idx="44">
                  <c:v>518.43411456192314</c:v>
                </c:pt>
                <c:pt idx="45">
                  <c:v>554.59133979920216</c:v>
                </c:pt>
                <c:pt idx="46">
                  <c:v>592.39179863588606</c:v>
                </c:pt>
                <c:pt idx="47">
                  <c:v>631.87200737418402</c:v>
                </c:pt>
                <c:pt idx="48">
                  <c:v>673.06848231630511</c:v>
                </c:pt>
                <c:pt idx="49">
                  <c:v>716.01773976445838</c:v>
                </c:pt>
                <c:pt idx="50">
                  <c:v>760.75629602085246</c:v>
                </c:pt>
                <c:pt idx="51">
                  <c:v>807.32066738769663</c:v>
                </c:pt>
                <c:pt idx="52">
                  <c:v>855.74737016719996</c:v>
                </c:pt>
                <c:pt idx="53">
                  <c:v>906.0729206615714</c:v>
                </c:pt>
                <c:pt idx="54">
                  <c:v>958.33383517301945</c:v>
                </c:pt>
                <c:pt idx="55">
                  <c:v>1012.5666300037539</c:v>
                </c:pt>
                <c:pt idx="56">
                  <c:v>1068.8078214559832</c:v>
                </c:pt>
                <c:pt idx="57">
                  <c:v>1127.0939258319165</c:v>
                </c:pt>
                <c:pt idx="58">
                  <c:v>1187.4614594337627</c:v>
                </c:pt>
                <c:pt idx="59">
                  <c:v>1249.9469385637315</c:v>
                </c:pt>
                <c:pt idx="60">
                  <c:v>1314.5868795240312</c:v>
                </c:pt>
                <c:pt idx="61">
                  <c:v>1381.4177986168706</c:v>
                </c:pt>
                <c:pt idx="62">
                  <c:v>1450.4762121444592</c:v>
                </c:pt>
                <c:pt idx="63">
                  <c:v>1521.7986364090057</c:v>
                </c:pt>
                <c:pt idx="64">
                  <c:v>1595.4215877127199</c:v>
                </c:pt>
                <c:pt idx="65">
                  <c:v>1671.3815823578088</c:v>
                </c:pt>
                <c:pt idx="66">
                  <c:v>1749.7151366464841</c:v>
                </c:pt>
                <c:pt idx="67">
                  <c:v>1830.4587668809527</c:v>
                </c:pt>
                <c:pt idx="68">
                  <c:v>1913.6489893634246</c:v>
                </c:pt>
                <c:pt idx="69">
                  <c:v>1999.322320396109</c:v>
                </c:pt>
                <c:pt idx="70">
                  <c:v>2087.5152762812136</c:v>
                </c:pt>
                <c:pt idx="71">
                  <c:v>2178.2643733209484</c:v>
                </c:pt>
                <c:pt idx="72">
                  <c:v>2271.6061278175225</c:v>
                </c:pt>
                <c:pt idx="73">
                  <c:v>2367.5770560731448</c:v>
                </c:pt>
                <c:pt idx="74">
                  <c:v>2466.2136743900242</c:v>
                </c:pt>
                <c:pt idx="75">
                  <c:v>2567.5524990703693</c:v>
                </c:pt>
                <c:pt idx="76">
                  <c:v>2671.6300464163896</c:v>
                </c:pt>
                <c:pt idx="77">
                  <c:v>2778.4828327302939</c:v>
                </c:pt>
                <c:pt idx="78">
                  <c:v>2888.147374314291</c:v>
                </c:pt>
                <c:pt idx="79">
                  <c:v>3000.6601874705902</c:v>
                </c:pt>
                <c:pt idx="80">
                  <c:v>3116.0577885014</c:v>
                </c:pt>
                <c:pt idx="81">
                  <c:v>3234.3766937089304</c:v>
                </c:pt>
                <c:pt idx="82">
                  <c:v>3355.6534193953908</c:v>
                </c:pt>
                <c:pt idx="83">
                  <c:v>3479.9244818629882</c:v>
                </c:pt>
                <c:pt idx="84">
                  <c:v>3607.2263974139323</c:v>
                </c:pt>
                <c:pt idx="85">
                  <c:v>3737.595682350433</c:v>
                </c:pt>
                <c:pt idx="86">
                  <c:v>3871.0688529746999</c:v>
                </c:pt>
                <c:pt idx="87">
                  <c:v>4007.6824255889392</c:v>
                </c:pt>
                <c:pt idx="88">
                  <c:v>4147.4729164953633</c:v>
                </c:pt>
                <c:pt idx="89">
                  <c:v>4290.4768419961774</c:v>
                </c:pt>
                <c:pt idx="90">
                  <c:v>4436.7307183935936</c:v>
                </c:pt>
                <c:pt idx="91">
                  <c:v>4586.2710619898189</c:v>
                </c:pt>
                <c:pt idx="92">
                  <c:v>4739.134389087063</c:v>
                </c:pt>
                <c:pt idx="93">
                  <c:v>4895.3572159875375</c:v>
                </c:pt>
                <c:pt idx="94">
                  <c:v>5054.9760589934476</c:v>
                </c:pt>
                <c:pt idx="95">
                  <c:v>5218.0274344070031</c:v>
                </c:pt>
                <c:pt idx="96">
                  <c:v>5384.5478585304145</c:v>
                </c:pt>
                <c:pt idx="97">
                  <c:v>5554.5738476658917</c:v>
                </c:pt>
                <c:pt idx="98">
                  <c:v>5728.1419181156389</c:v>
                </c:pt>
                <c:pt idx="99">
                  <c:v>5905.2885861818704</c:v>
                </c:pt>
                <c:pt idx="100">
                  <c:v>6086.0503681667915</c:v>
                </c:pt>
                <c:pt idx="101">
                  <c:v>6270.4637803726118</c:v>
                </c:pt>
                <c:pt idx="102">
                  <c:v>6458.5653391015439</c:v>
                </c:pt>
                <c:pt idx="103">
                  <c:v>6650.391560655793</c:v>
                </c:pt>
                <c:pt idx="104">
                  <c:v>6845.9789613375669</c:v>
                </c:pt>
                <c:pt idx="105">
                  <c:v>7045.3640574490792</c:v>
                </c:pt>
                <c:pt idx="106">
                  <c:v>7248.5833652925367</c:v>
                </c:pt>
                <c:pt idx="107">
                  <c:v>7455.6734011701474</c:v>
                </c:pt>
                <c:pt idx="108">
                  <c:v>7666.6706813841247</c:v>
                </c:pt>
                <c:pt idx="109">
                  <c:v>7881.6117222366665</c:v>
                </c:pt>
                <c:pt idx="110">
                  <c:v>8100.5330400299954</c:v>
                </c:pt>
                <c:pt idx="111">
                  <c:v>8323.4711510663128</c:v>
                </c:pt>
                <c:pt idx="112">
                  <c:v>8550.4625716478295</c:v>
                </c:pt>
                <c:pt idx="113">
                  <c:v>8781.5438180767542</c:v>
                </c:pt>
                <c:pt idx="114">
                  <c:v>9016.751406655294</c:v>
                </c:pt>
                <c:pt idx="115">
                  <c:v>9256.1218536856632</c:v>
                </c:pt>
                <c:pt idx="116">
                  <c:v>9499.6916754700633</c:v>
                </c:pt>
                <c:pt idx="117">
                  <c:v>9747.4973883107104</c:v>
                </c:pt>
                <c:pt idx="118">
                  <c:v>9999.5755085098117</c:v>
                </c:pt>
                <c:pt idx="119">
                  <c:v>10255.962552369572</c:v>
                </c:pt>
                <c:pt idx="120">
                  <c:v>10516.695036192208</c:v>
                </c:pt>
              </c:numCache>
            </c:numRef>
          </c:yVal>
          <c:smooth val="1"/>
        </c:ser>
        <c:ser>
          <c:idx val="1"/>
          <c:order val="1"/>
          <c:tx>
            <c:v>Ladeleistung Sternschaltung</c:v>
          </c:tx>
          <c:marker>
            <c:symbol val="none"/>
          </c:marker>
          <c:xVal>
            <c:numRef>
              <c:f>Stern!$A$4:$A$124</c:f>
              <c:numCache>
                <c:formatCode>0.0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</c:numCache>
            </c:numRef>
          </c:xVal>
          <c:yVal>
            <c:numRef>
              <c:f>Stern!$J$4:$J$124</c:f>
              <c:numCache>
                <c:formatCode>0.0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1.9860572570553374E-3</c:v>
                </c:pt>
                <c:pt idx="3">
                  <c:v>5.4514326194150753E-2</c:v>
                </c:pt>
                <c:pt idx="4">
                  <c:v>0.19030040353355646</c:v>
                </c:pt>
                <c:pt idx="5">
                  <c:v>0.44568786683782396</c:v>
                </c:pt>
                <c:pt idx="6">
                  <c:v>0.85697106756636687</c:v>
                </c:pt>
                <c:pt idx="7">
                  <c:v>1.4603876483402725</c:v>
                </c:pt>
                <c:pt idx="8">
                  <c:v>2.2921170702465741</c:v>
                </c:pt>
                <c:pt idx="9">
                  <c:v>3.3882803199643936</c:v>
                </c:pt>
                <c:pt idx="10">
                  <c:v>4.7849399452732966</c:v>
                </c:pt>
                <c:pt idx="11">
                  <c:v>6.5181002034123914</c:v>
                </c:pt>
                <c:pt idx="12">
                  <c:v>8.6237072539775745</c:v>
                </c:pt>
                <c:pt idx="13">
                  <c:v>11.137649371041256</c:v>
                </c:pt>
                <c:pt idx="14">
                  <c:v>14.095757163962752</c:v>
                </c:pt>
                <c:pt idx="15">
                  <c:v>17.533803802087434</c:v>
                </c:pt>
                <c:pt idx="16">
                  <c:v>21.487505240977303</c:v>
                </c:pt>
                <c:pt idx="17">
                  <c:v>25.992520448960374</c:v>
                </c:pt>
                <c:pt idx="18">
                  <c:v>31.084451633327575</c:v>
                </c:pt>
                <c:pt idx="19">
                  <c:v>36.798844465808877</c:v>
                </c:pt>
                <c:pt idx="20">
                  <c:v>43.171188307106569</c:v>
                </c:pt>
                <c:pt idx="21">
                  <c:v>50.236916430344067</c:v>
                </c:pt>
                <c:pt idx="22">
                  <c:v>58.03140624337798</c:v>
                </c:pt>
                <c:pt idx="23">
                  <c:v>66.589979509900786</c:v>
                </c:pt>
                <c:pt idx="24">
                  <c:v>75.947902569316881</c:v>
                </c:pt>
                <c:pt idx="25">
                  <c:v>86.140386555377447</c:v>
                </c:pt>
                <c:pt idx="26">
                  <c:v>97.202587613564205</c:v>
                </c:pt>
                <c:pt idx="27">
                  <c:v>109.16960711721913</c:v>
                </c:pt>
                <c:pt idx="28">
                  <c:v>122.0764918824308</c:v>
                </c:pt>
                <c:pt idx="29">
                  <c:v>135.95823438164837</c:v>
                </c:pt>
                <c:pt idx="30">
                  <c:v>150.8497729560867</c:v>
                </c:pt>
                <c:pt idx="31">
                  <c:v>166.78599202686206</c:v>
                </c:pt>
                <c:pt idx="32">
                  <c:v>183.80172230492121</c:v>
                </c:pt>
                <c:pt idx="33">
                  <c:v>201.93174099973351</c:v>
                </c:pt>
                <c:pt idx="34">
                  <c:v>221.21077202677046</c:v>
                </c:pt>
                <c:pt idx="35">
                  <c:v>241.67348621379054</c:v>
                </c:pt>
                <c:pt idx="36">
                  <c:v>263.35450150590719</c:v>
                </c:pt>
                <c:pt idx="37">
                  <c:v>286.2883831694819</c:v>
                </c:pt>
                <c:pt idx="38">
                  <c:v>310.50964399483559</c:v>
                </c:pt>
                <c:pt idx="39">
                  <c:v>336.05274449776846</c:v>
                </c:pt>
                <c:pt idx="40">
                  <c:v>362.95209311994699</c:v>
                </c:pt>
                <c:pt idx="41">
                  <c:v>391.24204642811003</c:v>
                </c:pt>
                <c:pt idx="42">
                  <c:v>420.95690931213488</c:v>
                </c:pt>
                <c:pt idx="43">
                  <c:v>452.1309351819707</c:v>
                </c:pt>
                <c:pt idx="44">
                  <c:v>484.79832616344873</c:v>
                </c:pt>
                <c:pt idx="45">
                  <c:v>518.99323329292133</c:v>
                </c:pt>
                <c:pt idx="46">
                  <c:v>554.74975671087316</c:v>
                </c:pt>
                <c:pt idx="47">
                  <c:v>592.10194585435636</c:v>
                </c:pt>
                <c:pt idx="48">
                  <c:v>631.08379964835774</c:v>
                </c:pt>
                <c:pt idx="49">
                  <c:v>671.72926669605295</c:v>
                </c:pt>
                <c:pt idx="50">
                  <c:v>714.07224546804457</c:v>
                </c:pt>
                <c:pt idx="51">
                  <c:v>758.14658449042975</c:v>
                </c:pt>
                <c:pt idx="52">
                  <c:v>803.98608253189366</c:v>
                </c:pt>
                <c:pt idx="53">
                  <c:v>851.62448878968689</c:v>
                </c:pt>
                <c:pt idx="54">
                  <c:v>901.09550307457528</c:v>
                </c:pt>
                <c:pt idx="55">
                  <c:v>952.43277599476414</c:v>
                </c:pt>
                <c:pt idx="56">
                  <c:v>1005.6699091387536</c:v>
                </c:pt>
                <c:pt idx="57">
                  <c:v>1060.8404552571958</c:v>
                </c:pt>
                <c:pt idx="58">
                  <c:v>1117.9779184437216</c:v>
                </c:pt>
                <c:pt idx="59">
                  <c:v>1177.1157543147503</c:v>
                </c:pt>
                <c:pt idx="60">
                  <c:v>1238.2873701883379</c:v>
                </c:pt>
                <c:pt idx="61">
                  <c:v>1301.5261252619327</c:v>
                </c:pt>
                <c:pt idx="62">
                  <c:v>1366.8653307892687</c:v>
                </c:pt>
                <c:pt idx="63">
                  <c:v>1434.338250256156</c:v>
                </c:pt>
                <c:pt idx="64">
                  <c:v>1503.9780995554222</c:v>
                </c:pt>
                <c:pt idx="65">
                  <c:v>1575.8180471607375</c:v>
                </c:pt>
                <c:pt idx="66">
                  <c:v>1649.8912142996055</c:v>
                </c:pt>
                <c:pt idx="67">
                  <c:v>1726.2306751253486</c:v>
                </c:pt>
                <c:pt idx="68">
                  <c:v>1804.8694568881465</c:v>
                </c:pt>
                <c:pt idx="69">
                  <c:v>1885.8405401051277</c:v>
                </c:pt>
                <c:pt idx="70">
                  <c:v>1969.1768587295583</c:v>
                </c:pt>
                <c:pt idx="71">
                  <c:v>2054.9113003190778</c:v>
                </c:pt>
                <c:pt idx="72">
                  <c:v>2143.0767062030059</c:v>
                </c:pt>
                <c:pt idx="73">
                  <c:v>2233.70587164878</c:v>
                </c:pt>
                <c:pt idx="74">
                  <c:v>2326.8315460274398</c:v>
                </c:pt>
                <c:pt idx="75">
                  <c:v>2422.486432978249</c:v>
                </c:pt>
                <c:pt idx="76">
                  <c:v>2520.7031905723593</c:v>
                </c:pt>
                <c:pt idx="77">
                  <c:v>2621.5144314756931</c:v>
                </c:pt>
                <c:pt idx="78">
                  <c:v>2724.9527231108605</c:v>
                </c:pt>
                <c:pt idx="79">
                  <c:v>2831.0505878181839</c:v>
                </c:pt>
                <c:pt idx="80">
                  <c:v>2939.8405030159452</c:v>
                </c:pt>
                <c:pt idx="81">
                  <c:v>3051.3549013597226</c:v>
                </c:pt>
                <c:pt idx="82">
                  <c:v>3165.6261709008327</c:v>
                </c:pt>
                <c:pt idx="83">
                  <c:v>3282.6866552439647</c:v>
                </c:pt>
                <c:pt idx="84">
                  <c:v>3402.5686537040096</c:v>
                </c:pt>
                <c:pt idx="85">
                  <c:v>3525.304421461899</c:v>
                </c:pt>
                <c:pt idx="86">
                  <c:v>3650.9261697198913</c:v>
                </c:pt>
                <c:pt idx="87">
                  <c:v>3779.4660658556691</c:v>
                </c:pt>
                <c:pt idx="88">
                  <c:v>3910.9562335758974</c:v>
                </c:pt>
                <c:pt idx="89">
                  <c:v>4045.4287530688712</c:v>
                </c:pt>
                <c:pt idx="90">
                  <c:v>4182.9156611563621</c:v>
                </c:pt>
                <c:pt idx="91">
                  <c:v>4323.4489514446022</c:v>
                </c:pt>
                <c:pt idx="92">
                  <c:v>4467.0605744745953</c:v>
                </c:pt>
                <c:pt idx="93">
                  <c:v>4613.7824378714777</c:v>
                </c:pt>
                <c:pt idx="94">
                  <c:v>4763.6464064932425</c:v>
                </c:pt>
                <c:pt idx="95">
                  <c:v>4916.6843025785829</c:v>
                </c:pt>
                <c:pt idx="96">
                  <c:v>5072.927905894001</c:v>
                </c:pt>
                <c:pt idx="97">
                  <c:v>5232.4089538801472</c:v>
                </c:pt>
                <c:pt idx="98">
                  <c:v>5395.1591417973013</c:v>
                </c:pt>
                <c:pt idx="99">
                  <c:v>5561.210122870315</c:v>
                </c:pt>
                <c:pt idx="100">
                  <c:v>5730.5935084325638</c:v>
                </c:pt>
                <c:pt idx="101">
                  <c:v>5903.3408680692064</c:v>
                </c:pt>
                <c:pt idx="102">
                  <c:v>6079.4837297598906</c:v>
                </c:pt>
                <c:pt idx="103">
                  <c:v>6259.053580020357</c:v>
                </c:pt>
                <c:pt idx="104">
                  <c:v>6442.0818640436992</c:v>
                </c:pt>
                <c:pt idx="105">
                  <c:v>6628.5999858405794</c:v>
                </c:pt>
                <c:pt idx="106">
                  <c:v>6818.6393083789526</c:v>
                </c:pt>
                <c:pt idx="107">
                  <c:v>7012.2311537228443</c:v>
                </c:pt>
                <c:pt idx="108">
                  <c:v>7209.4068031707111</c:v>
                </c:pt>
                <c:pt idx="109">
                  <c:v>7410.1974973927399</c:v>
                </c:pt>
                <c:pt idx="110">
                  <c:v>7614.6344365677105</c:v>
                </c:pt>
                <c:pt idx="111">
                  <c:v>7822.7487805190585</c:v>
                </c:pt>
                <c:pt idx="112">
                  <c:v>8034.5716488502685</c:v>
                </c:pt>
                <c:pt idx="113">
                  <c:v>8250.1341210794471</c:v>
                </c:pt>
                <c:pt idx="114">
                  <c:v>8469.4672367735329</c:v>
                </c:pt>
                <c:pt idx="115">
                  <c:v>8692.6019956813507</c:v>
                </c:pt>
                <c:pt idx="116">
                  <c:v>8919.5693578664268</c:v>
                </c:pt>
                <c:pt idx="117">
                  <c:v>9150.4002438389452</c:v>
                </c:pt>
                <c:pt idx="118">
                  <c:v>9385.1255346869057</c:v>
                </c:pt>
                <c:pt idx="119">
                  <c:v>9623.7760722070288</c:v>
                </c:pt>
                <c:pt idx="120">
                  <c:v>9866.3826590342887</c:v>
                </c:pt>
              </c:numCache>
            </c:numRef>
          </c:yVal>
          <c:smooth val="1"/>
        </c:ser>
        <c:ser>
          <c:idx val="2"/>
          <c:order val="2"/>
          <c:tx>
            <c:v>Ladeleistung Dreieckschaltung</c:v>
          </c:tx>
          <c:marker>
            <c:symbol val="none"/>
          </c:marker>
          <c:xVal>
            <c:numRef>
              <c:f>Dreieck!$A$4:$A$124</c:f>
              <c:numCache>
                <c:formatCode>0.0</c:formatCode>
                <c:ptCount val="1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</c:numCache>
            </c:numRef>
          </c:xVal>
          <c:yVal>
            <c:numRef>
              <c:f>Dreieck!$J$4:$J$124</c:f>
              <c:numCache>
                <c:formatCode>0.0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6.3669315656875475E-2</c:v>
                </c:pt>
                <c:pt idx="5">
                  <c:v>0.24508739002907379</c:v>
                </c:pt>
                <c:pt idx="6">
                  <c:v>0.56574245419380331</c:v>
                </c:pt>
                <c:pt idx="7">
                  <c:v>1.0620109777045879</c:v>
                </c:pt>
                <c:pt idx="8">
                  <c:v>1.7702366626296382</c:v>
                </c:pt>
                <c:pt idx="9">
                  <c:v>2.7267295304847239</c:v>
                </c:pt>
                <c:pt idx="10">
                  <c:v>3.9677656234946044</c:v>
                </c:pt>
                <c:pt idx="11">
                  <c:v>5.5295869185615354</c:v>
                </c:pt>
                <c:pt idx="12">
                  <c:v>7.4484013266217852</c:v>
                </c:pt>
                <c:pt idx="13">
                  <c:v>9.7603827302176089</c:v>
                </c:pt>
                <c:pt idx="14">
                  <c:v>12.501671039637946</c:v>
                </c:pt>
                <c:pt idx="15">
                  <c:v>15.708372258643225</c:v>
                </c:pt>
                <c:pt idx="16">
                  <c:v>19.416558555393976</c:v>
                </c:pt>
                <c:pt idx="17">
                  <c:v>23.66226833627686</c:v>
                </c:pt>
                <c:pt idx="18">
                  <c:v>28.481506321379829</c:v>
                </c:pt>
                <c:pt idx="19">
                  <c:v>33.910243620893574</c:v>
                </c:pt>
                <c:pt idx="20">
                  <c:v>39.984417812001297</c:v>
                </c:pt>
                <c:pt idx="21">
                  <c:v>46.739933016016515</c:v>
                </c:pt>
                <c:pt idx="22">
                  <c:v>54.212659975606293</c:v>
                </c:pt>
                <c:pt idx="23">
                  <c:v>62.438436131953793</c:v>
                </c:pt>
                <c:pt idx="24">
                  <c:v>71.453065701836266</c:v>
                </c:pt>
                <c:pt idx="25">
                  <c:v>81.292319754561362</c:v>
                </c:pt>
                <c:pt idx="26">
                  <c:v>91.991936288688777</c:v>
                </c:pt>
                <c:pt idx="27">
                  <c:v>103.58762030860103</c:v>
                </c:pt>
                <c:pt idx="28">
                  <c:v>116.11504390079696</c:v>
                </c:pt>
                <c:pt idx="29">
                  <c:v>129.60984630999758</c:v>
                </c:pt>
                <c:pt idx="30">
                  <c:v>144.10763401500597</c:v>
                </c:pt>
                <c:pt idx="31">
                  <c:v>159.64398080431732</c:v>
                </c:pt>
                <c:pt idx="32">
                  <c:v>176.25442785147314</c:v>
                </c:pt>
                <c:pt idx="33">
                  <c:v>193.97448379020304</c:v>
                </c:pt>
                <c:pt idx="34">
                  <c:v>212.83962478927751</c:v>
                </c:pt>
                <c:pt idx="35">
                  <c:v>232.88529462713777</c:v>
                </c:pt>
                <c:pt idx="36">
                  <c:v>254.14690476625975</c:v>
                </c:pt>
                <c:pt idx="37">
                  <c:v>276.65983442726741</c:v>
                </c:pt>
                <c:pt idx="38">
                  <c:v>300.45943066279654</c:v>
                </c:pt>
                <c:pt idx="39">
                  <c:v>325.58100843112265</c:v>
                </c:pt>
                <c:pt idx="40">
                  <c:v>352.05985066950723</c:v>
                </c:pt>
                <c:pt idx="41">
                  <c:v>379.93120836732305</c:v>
                </c:pt>
                <c:pt idx="42">
                  <c:v>409.23030063891008</c:v>
                </c:pt>
                <c:pt idx="43">
                  <c:v>439.99231479621795</c:v>
                </c:pt>
                <c:pt idx="44">
                  <c:v>472.25240642113243</c:v>
                </c:pt>
                <c:pt idx="45">
                  <c:v>506.04569943763914</c:v>
                </c:pt>
                <c:pt idx="46">
                  <c:v>541.40728618366188</c:v>
                </c:pt>
                <c:pt idx="47">
                  <c:v>578.37222748274939</c:v>
                </c:pt>
                <c:pt idx="48">
                  <c:v>616.97555271540693</c:v>
                </c:pt>
                <c:pt idx="49">
                  <c:v>657.25225989027263</c:v>
                </c:pt>
                <c:pt idx="50">
                  <c:v>699.23731571501798</c:v>
                </c:pt>
                <c:pt idx="51">
                  <c:v>742.96565566701986</c:v>
                </c:pt>
                <c:pt idx="52">
                  <c:v>788.47218406376214</c:v>
                </c:pt>
                <c:pt idx="53">
                  <c:v>835.79177413305081</c:v>
                </c:pt>
                <c:pt idx="54">
                  <c:v>884.95926808291131</c:v>
                </c:pt>
                <c:pt idx="55">
                  <c:v>936.00947717137331</c:v>
                </c:pt>
                <c:pt idx="56">
                  <c:v>988.9771817758849</c:v>
                </c:pt>
                <c:pt idx="57">
                  <c:v>1043.8971314625751</c:v>
                </c:pt>
                <c:pt idx="58">
                  <c:v>1100.8040450552589</c:v>
                </c:pt>
                <c:pt idx="59">
                  <c:v>1159.7326107042418</c:v>
                </c:pt>
                <c:pt idx="60">
                  <c:v>1220.7174859547856</c:v>
                </c:pt>
                <c:pt idx="61">
                  <c:v>1283.7932978155065</c:v>
                </c:pt>
                <c:pt idx="62">
                  <c:v>1348.9946428264111</c:v>
                </c:pt>
                <c:pt idx="63">
                  <c:v>1416.356087126758</c:v>
                </c:pt>
                <c:pt idx="64">
                  <c:v>1485.9121665226744</c:v>
                </c:pt>
                <c:pt idx="65">
                  <c:v>1557.6973865546022</c:v>
                </c:pt>
                <c:pt idx="66">
                  <c:v>1631.746222564389</c:v>
                </c:pt>
                <c:pt idx="67">
                  <c:v>1708.0931197623208</c:v>
                </c:pt>
                <c:pt idx="68">
                  <c:v>1786.7724932938136</c:v>
                </c:pt>
                <c:pt idx="69">
                  <c:v>1867.8187283059135</c:v>
                </c:pt>
                <c:pt idx="70">
                  <c:v>1951.2661800135634</c:v>
                </c:pt>
                <c:pt idx="71">
                  <c:v>2037.149173765725</c:v>
                </c:pt>
                <c:pt idx="72">
                  <c:v>2125.5020051111055</c:v>
                </c:pt>
                <c:pt idx="73">
                  <c:v>2216.3589398639397</c:v>
                </c:pt>
                <c:pt idx="74">
                  <c:v>2309.7542141692084</c:v>
                </c:pt>
                <c:pt idx="75">
                  <c:v>2405.7220345680221</c:v>
                </c:pt>
                <c:pt idx="76">
                  <c:v>2504.2965780624081</c:v>
                </c:pt>
                <c:pt idx="77">
                  <c:v>2605.5119921801997</c:v>
                </c:pt>
                <c:pt idx="78">
                  <c:v>2709.4023950395376</c:v>
                </c:pt>
                <c:pt idx="79">
                  <c:v>2816.0018754131665</c:v>
                </c:pt>
                <c:pt idx="80">
                  <c:v>2925.3444927925448</c:v>
                </c:pt>
                <c:pt idx="81">
                  <c:v>3037.4642774518538</c:v>
                </c:pt>
                <c:pt idx="82">
                  <c:v>3152.3952305115881</c:v>
                </c:pt>
                <c:pt idx="83">
                  <c:v>3270.1713240020372</c:v>
                </c:pt>
                <c:pt idx="84">
                  <c:v>3390.8265009266529</c:v>
                </c:pt>
                <c:pt idx="85">
                  <c:v>3514.3946753250093</c:v>
                </c:pt>
                <c:pt idx="86">
                  <c:v>3640.9097323357746</c:v>
                </c:pt>
                <c:pt idx="87">
                  <c:v>3770.4055282592635</c:v>
                </c:pt>
                <c:pt idx="88">
                  <c:v>3902.91589061994</c:v>
                </c:pt>
                <c:pt idx="89">
                  <c:v>4038.4746182286895</c:v>
                </c:pt>
                <c:pt idx="90">
                  <c:v>4177.1154812448003</c:v>
                </c:pt>
                <c:pt idx="91">
                  <c:v>4318.8722212378134</c:v>
                </c:pt>
                <c:pt idx="92">
                  <c:v>4463.7785512492565</c:v>
                </c:pt>
                <c:pt idx="93">
                  <c:v>4611.868155853942</c:v>
                </c:pt>
                <c:pt idx="94">
                  <c:v>4763.1746912212857</c:v>
                </c:pt>
                <c:pt idx="95">
                  <c:v>4917.7317851763282</c:v>
                </c:pt>
                <c:pt idx="96">
                  <c:v>5075.573037260624</c:v>
                </c:pt>
                <c:pt idx="97">
                  <c:v>5236.7320187927717</c:v>
                </c:pt>
                <c:pt idx="98">
                  <c:v>5401.2422729289965</c:v>
                </c:pt>
                <c:pt idx="99">
                  <c:v>5569.1373147232744</c:v>
                </c:pt>
                <c:pt idx="100">
                  <c:v>5740.4506311875111</c:v>
                </c:pt>
                <c:pt idx="101">
                  <c:v>5915.2156813512665</c:v>
                </c:pt>
                <c:pt idx="102">
                  <c:v>6093.4658963216352</c:v>
                </c:pt>
                <c:pt idx="103">
                  <c:v>6275.2346793423949</c:v>
                </c:pt>
                <c:pt idx="104">
                  <c:v>6460.5554058536873</c:v>
                </c:pt>
                <c:pt idx="105">
                  <c:v>6649.4614235507852</c:v>
                </c:pt>
                <c:pt idx="106">
                  <c:v>6841.9860524431851</c:v>
                </c:pt>
                <c:pt idx="107">
                  <c:v>7038.1625849132342</c:v>
                </c:pt>
                <c:pt idx="108">
                  <c:v>7238.0242857746734</c:v>
                </c:pt>
                <c:pt idx="109">
                  <c:v>7441.6043923310626</c:v>
                </c:pt>
                <c:pt idx="110">
                  <c:v>7648.9361144337663</c:v>
                </c:pt>
                <c:pt idx="111">
                  <c:v>7860.0526345400658</c:v>
                </c:pt>
                <c:pt idx="112">
                  <c:v>8074.9871077709058</c:v>
                </c:pt>
                <c:pt idx="113">
                  <c:v>8293.7726619684854</c:v>
                </c:pt>
                <c:pt idx="114">
                  <c:v>8516.4423977535553</c:v>
                </c:pt>
                <c:pt idx="115">
                  <c:v>8743.0293885829797</c:v>
                </c:pt>
                <c:pt idx="116">
                  <c:v>8973.5666808062688</c:v>
                </c:pt>
                <c:pt idx="117">
                  <c:v>9208.0872937229997</c:v>
                </c:pt>
                <c:pt idx="118">
                  <c:v>9446.6242196391231</c:v>
                </c:pt>
                <c:pt idx="119">
                  <c:v>9689.2104239235669</c:v>
                </c:pt>
                <c:pt idx="120">
                  <c:v>9935.8788450646607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78112"/>
        <c:axId val="170042880"/>
      </c:scatterChart>
      <c:valAx>
        <c:axId val="16797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>
                  <a:defRPr sz="1600"/>
                </a:pPr>
                <a:r>
                  <a:rPr lang="de-DE" sz="1600"/>
                  <a:t>Windgeschwindigkeit [m/s]</a:t>
                </a:r>
              </a:p>
            </c:rich>
          </c:tx>
          <c:layout>
            <c:manualLayout>
              <c:xMode val="edge"/>
              <c:yMode val="edge"/>
              <c:x val="0.40195605242177496"/>
              <c:y val="0.9296768938365463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70042880"/>
        <c:crosses val="autoZero"/>
        <c:crossBetween val="midCat"/>
        <c:majorUnit val="1"/>
      </c:valAx>
      <c:valAx>
        <c:axId val="170042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de-DE" sz="1600"/>
                  <a:t>Leistung [W]</a:t>
                </a:r>
              </a:p>
            </c:rich>
          </c:tx>
          <c:layout>
            <c:manualLayout>
              <c:xMode val="edge"/>
              <c:yMode val="edge"/>
              <c:x val="1.0106880999288279E-2"/>
              <c:y val="0.3379505502988596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67978112"/>
        <c:crosses val="autoZero"/>
        <c:crossBetween val="midCat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646731605900903"/>
          <c:y val="7.7786673724607958E-2"/>
          <c:w val="0.30276767238733271"/>
          <c:h val="0.168307196894505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1</xdr:row>
      <xdr:rowOff>19050</xdr:rowOff>
    </xdr:from>
    <xdr:to>
      <xdr:col>13</xdr:col>
      <xdr:colOff>1381125</xdr:colOff>
      <xdr:row>24</xdr:row>
      <xdr:rowOff>85725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47650"/>
          <a:ext cx="4686300" cy="395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9526</xdr:colOff>
      <xdr:row>26</xdr:row>
      <xdr:rowOff>9525</xdr:rowOff>
    </xdr:from>
    <xdr:to>
      <xdr:col>16</xdr:col>
      <xdr:colOff>190501</xdr:colOff>
      <xdr:row>51</xdr:row>
      <xdr:rowOff>38100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abSelected="1" workbookViewId="0">
      <selection activeCell="F38" sqref="F38"/>
    </sheetView>
  </sheetViews>
  <sheetFormatPr baseColWidth="10" defaultColWidth="9.140625" defaultRowHeight="12.75" x14ac:dyDescent="0.2"/>
  <cols>
    <col min="1" max="1" width="4.42578125" customWidth="1"/>
    <col min="2" max="2" width="36.5703125" customWidth="1"/>
    <col min="3" max="3" width="18" customWidth="1"/>
    <col min="5" max="5" width="28.5703125" customWidth="1"/>
    <col min="6" max="6" width="17.7109375" customWidth="1"/>
    <col min="7" max="7" width="15.7109375" customWidth="1"/>
    <col min="10" max="10" width="9.7109375" customWidth="1"/>
    <col min="11" max="11" width="11.140625" bestFit="1" customWidth="1"/>
    <col min="13" max="13" width="29.5703125" customWidth="1"/>
    <col min="14" max="14" width="28.85546875" customWidth="1"/>
  </cols>
  <sheetData>
    <row r="1" spans="2:11" s="1" customFormat="1" ht="18" x14ac:dyDescent="0.25">
      <c r="B1" s="2" t="s">
        <v>0</v>
      </c>
      <c r="H1" s="127" t="s">
        <v>128</v>
      </c>
      <c r="I1" s="128"/>
    </row>
    <row r="2" spans="2:11" x14ac:dyDescent="0.2">
      <c r="G2" s="3"/>
      <c r="H2" s="138">
        <f>Stern!M4</f>
        <v>6225.035605515207</v>
      </c>
      <c r="I2" s="138"/>
    </row>
    <row r="3" spans="2:11" x14ac:dyDescent="0.2">
      <c r="B3" s="4" t="s">
        <v>1</v>
      </c>
      <c r="C3" s="5" t="s">
        <v>2</v>
      </c>
      <c r="D3" s="6"/>
      <c r="E3" s="7"/>
      <c r="F3" s="8" t="s">
        <v>3</v>
      </c>
      <c r="G3" s="9" t="s">
        <v>4</v>
      </c>
    </row>
    <row r="4" spans="2:11" ht="13.5" thickBot="1" x14ac:dyDescent="0.25">
      <c r="B4" s="10"/>
      <c r="C4" s="11"/>
      <c r="D4" s="12"/>
      <c r="E4" s="12"/>
      <c r="F4" s="12"/>
      <c r="G4" s="13"/>
    </row>
    <row r="5" spans="2:11" ht="13.5" thickBot="1" x14ac:dyDescent="0.25">
      <c r="B5" s="14" t="s">
        <v>5</v>
      </c>
      <c r="C5" s="12" t="s">
        <v>6</v>
      </c>
      <c r="D5" s="15">
        <v>7</v>
      </c>
      <c r="E5" s="16" t="s">
        <v>7</v>
      </c>
      <c r="F5" s="114">
        <f>D5*D6*60/(D7*PI())</f>
        <v>44.563384065730695</v>
      </c>
      <c r="G5" s="13" t="s">
        <v>8</v>
      </c>
    </row>
    <row r="6" spans="2:11" ht="13.5" thickBot="1" x14ac:dyDescent="0.25">
      <c r="B6" s="14" t="s">
        <v>9</v>
      </c>
      <c r="C6" s="12" t="s">
        <v>10</v>
      </c>
      <c r="D6" s="17">
        <v>2</v>
      </c>
      <c r="E6" s="12"/>
      <c r="F6" s="12"/>
      <c r="G6" s="13"/>
    </row>
    <row r="7" spans="2:11" ht="13.5" thickBot="1" x14ac:dyDescent="0.25">
      <c r="B7" s="14" t="s">
        <v>11</v>
      </c>
      <c r="C7" s="18" t="s">
        <v>12</v>
      </c>
      <c r="D7" s="19">
        <v>6</v>
      </c>
      <c r="E7" s="16" t="s">
        <v>13</v>
      </c>
      <c r="F7" s="20">
        <f>F5/60</f>
        <v>0.74272306776217822</v>
      </c>
      <c r="G7" s="13" t="s">
        <v>14</v>
      </c>
    </row>
    <row r="8" spans="2:11" ht="13.5" thickBot="1" x14ac:dyDescent="0.25">
      <c r="B8" s="21"/>
      <c r="C8" s="22"/>
      <c r="D8" s="22"/>
      <c r="E8" s="22"/>
      <c r="F8" s="22"/>
      <c r="G8" s="23"/>
    </row>
    <row r="9" spans="2:11" x14ac:dyDescent="0.2">
      <c r="B9" s="24" t="s">
        <v>15</v>
      </c>
      <c r="C9" s="25"/>
      <c r="D9" s="25"/>
      <c r="E9" s="25"/>
      <c r="F9" s="25"/>
      <c r="G9" s="26"/>
      <c r="J9" s="27"/>
    </row>
    <row r="10" spans="2:11" ht="13.5" thickBot="1" x14ac:dyDescent="0.25">
      <c r="B10" s="28"/>
      <c r="C10" s="29"/>
      <c r="D10" s="30"/>
      <c r="E10" s="30"/>
      <c r="F10" s="30"/>
      <c r="G10" s="31"/>
      <c r="J10" s="27"/>
    </row>
    <row r="11" spans="2:11" ht="13.5" thickBot="1" x14ac:dyDescent="0.25">
      <c r="B11" s="32" t="s">
        <v>16</v>
      </c>
      <c r="C11" s="33" t="s">
        <v>17</v>
      </c>
      <c r="D11" s="34">
        <v>39</v>
      </c>
      <c r="E11" s="35" t="s">
        <v>18</v>
      </c>
      <c r="F11" s="100">
        <f>(D14+(D16*2)+D17+D15+(D16*2))*D11/2/1000</f>
        <v>2.2035</v>
      </c>
      <c r="G11" s="31" t="s">
        <v>19</v>
      </c>
      <c r="J11" s="27"/>
    </row>
    <row r="12" spans="2:11" ht="13.5" thickBot="1" x14ac:dyDescent="0.25">
      <c r="B12" s="36" t="s">
        <v>20</v>
      </c>
      <c r="C12" s="37"/>
      <c r="D12" s="30"/>
      <c r="E12" s="35" t="s">
        <v>21</v>
      </c>
      <c r="F12" s="38">
        <f>F11/(2*PI())*1000</f>
        <v>350.69791710299137</v>
      </c>
      <c r="G12" s="31" t="s">
        <v>22</v>
      </c>
      <c r="J12" s="27"/>
    </row>
    <row r="13" spans="2:11" ht="13.5" thickBot="1" x14ac:dyDescent="0.25">
      <c r="B13" s="28" t="s">
        <v>23</v>
      </c>
      <c r="C13" s="39" t="s">
        <v>24</v>
      </c>
      <c r="D13" s="15">
        <v>46</v>
      </c>
      <c r="E13" s="30"/>
      <c r="F13" s="30"/>
      <c r="G13" s="31"/>
      <c r="J13" s="27"/>
    </row>
    <row r="14" spans="2:11" ht="13.5" thickBot="1" x14ac:dyDescent="0.25">
      <c r="B14" s="28" t="s">
        <v>25</v>
      </c>
      <c r="C14" s="28" t="s">
        <v>26</v>
      </c>
      <c r="D14" s="126">
        <v>37</v>
      </c>
      <c r="E14" s="35" t="s">
        <v>27</v>
      </c>
      <c r="F14" s="20">
        <f>(F5/60)*F11</f>
        <v>1.6365902798139598</v>
      </c>
      <c r="G14" s="31" t="s">
        <v>28</v>
      </c>
      <c r="J14" s="27"/>
    </row>
    <row r="15" spans="2:11" x14ac:dyDescent="0.2">
      <c r="B15" s="28" t="s">
        <v>29</v>
      </c>
      <c r="C15" s="28" t="s">
        <v>30</v>
      </c>
      <c r="D15" s="126">
        <v>30</v>
      </c>
      <c r="E15" s="30"/>
      <c r="F15" s="30"/>
      <c r="G15" s="31"/>
    </row>
    <row r="16" spans="2:11" x14ac:dyDescent="0.2">
      <c r="B16" s="28" t="s">
        <v>31</v>
      </c>
      <c r="C16" s="28" t="s">
        <v>32</v>
      </c>
      <c r="D16" s="126">
        <v>11</v>
      </c>
      <c r="E16" s="30"/>
      <c r="F16" s="30"/>
      <c r="G16" s="31"/>
      <c r="K16" s="3"/>
    </row>
    <row r="17" spans="1:11" ht="13.5" thickBot="1" x14ac:dyDescent="0.25">
      <c r="B17" s="28" t="s">
        <v>33</v>
      </c>
      <c r="C17" s="28" t="s">
        <v>34</v>
      </c>
      <c r="D17" s="17">
        <v>2</v>
      </c>
      <c r="E17" s="30"/>
      <c r="F17" s="40"/>
      <c r="G17" s="31"/>
      <c r="K17" s="3"/>
    </row>
    <row r="18" spans="1:11" ht="13.5" thickBot="1" x14ac:dyDescent="0.25">
      <c r="A18" s="125"/>
      <c r="B18" s="37" t="s">
        <v>35</v>
      </c>
      <c r="C18" s="41" t="s">
        <v>36</v>
      </c>
      <c r="D18" s="19">
        <v>40</v>
      </c>
      <c r="E18" s="35" t="s">
        <v>37</v>
      </c>
      <c r="F18" s="42">
        <f>(D11*(D15+(D16*2)+(D17*2))/PI())/10/1.25+(0.2*D18)+(2*D13/10)+(4*D16/10)</f>
        <v>77.215103314031921</v>
      </c>
      <c r="G18" s="43" t="s">
        <v>38</v>
      </c>
      <c r="H18" s="44"/>
      <c r="I18" s="44"/>
      <c r="K18" s="3"/>
    </row>
    <row r="19" spans="1:11" ht="13.5" thickBot="1" x14ac:dyDescent="0.25">
      <c r="A19" s="125"/>
      <c r="B19" s="37"/>
      <c r="C19" s="37"/>
      <c r="D19" s="37"/>
      <c r="E19" s="45" t="s">
        <v>39</v>
      </c>
      <c r="F19" s="38">
        <f>(D11*(D15+(D16*2)+(D17*2))/PI())/10/1.25-(2*D16/10)+(2*D13/10)+(4*D16/10)+2</f>
        <v>69.015103314031919</v>
      </c>
      <c r="G19" s="43" t="s">
        <v>38</v>
      </c>
      <c r="K19" s="3"/>
    </row>
    <row r="20" spans="1:11" ht="13.5" thickBot="1" x14ac:dyDescent="0.25">
      <c r="A20" s="125"/>
      <c r="B20" s="46"/>
      <c r="C20" s="46"/>
      <c r="D20" s="46"/>
      <c r="E20" s="47" t="s">
        <v>40</v>
      </c>
      <c r="F20" s="46"/>
      <c r="G20" s="48"/>
    </row>
    <row r="21" spans="1:11" x14ac:dyDescent="0.2">
      <c r="B21" s="24" t="s">
        <v>41</v>
      </c>
      <c r="C21" s="12"/>
      <c r="D21" s="12"/>
      <c r="E21" s="12"/>
      <c r="F21" s="12"/>
      <c r="G21" s="13"/>
      <c r="H21" s="49" t="s">
        <v>42</v>
      </c>
      <c r="I21" s="50">
        <v>1.43</v>
      </c>
      <c r="K21" s="3"/>
    </row>
    <row r="22" spans="1:11" ht="13.5" thickBot="1" x14ac:dyDescent="0.25">
      <c r="B22" s="10"/>
      <c r="C22" s="11"/>
      <c r="D22" s="51"/>
      <c r="E22" s="12"/>
      <c r="F22" s="12"/>
      <c r="G22" s="13"/>
      <c r="H22" s="52" t="s">
        <v>43</v>
      </c>
      <c r="I22" s="113">
        <v>1.4</v>
      </c>
      <c r="K22" s="3"/>
    </row>
    <row r="23" spans="1:11" x14ac:dyDescent="0.2">
      <c r="B23" s="14" t="s">
        <v>44</v>
      </c>
      <c r="C23" s="51" t="s">
        <v>45</v>
      </c>
      <c r="D23" s="15">
        <v>10</v>
      </c>
      <c r="F23" s="51"/>
      <c r="G23" s="12"/>
      <c r="H23" s="52" t="s">
        <v>46</v>
      </c>
      <c r="I23" s="53">
        <v>1.38</v>
      </c>
      <c r="K23" s="3"/>
    </row>
    <row r="24" spans="1:11" ht="13.5" thickBot="1" x14ac:dyDescent="0.25">
      <c r="B24" s="14" t="s">
        <v>47</v>
      </c>
      <c r="C24" s="137" t="s">
        <v>48</v>
      </c>
      <c r="D24" s="126">
        <v>20</v>
      </c>
      <c r="E24" s="54" t="s">
        <v>49</v>
      </c>
      <c r="F24" s="51"/>
      <c r="G24" s="13"/>
      <c r="H24" s="52" t="s">
        <v>50</v>
      </c>
      <c r="I24" s="53">
        <v>1.32</v>
      </c>
      <c r="K24" s="3"/>
    </row>
    <row r="25" spans="1:11" ht="13.5" thickBot="1" x14ac:dyDescent="0.25">
      <c r="B25" s="14" t="s">
        <v>51</v>
      </c>
      <c r="C25" s="10" t="s">
        <v>52</v>
      </c>
      <c r="D25" s="19">
        <v>1.32</v>
      </c>
      <c r="E25" s="55" t="s">
        <v>53</v>
      </c>
      <c r="F25" s="56">
        <f>D25-((D25*(D24/(2*D23)))*0.5)</f>
        <v>0.66</v>
      </c>
      <c r="G25" s="13" t="s">
        <v>54</v>
      </c>
      <c r="H25" s="52" t="s">
        <v>55</v>
      </c>
      <c r="I25" s="53">
        <v>1.28</v>
      </c>
      <c r="K25" s="3"/>
    </row>
    <row r="26" spans="1:11" ht="13.5" thickBot="1" x14ac:dyDescent="0.25">
      <c r="B26" s="21"/>
      <c r="C26" s="57"/>
      <c r="D26" s="57"/>
      <c r="E26" s="22"/>
      <c r="F26" s="22"/>
      <c r="G26" s="23"/>
      <c r="H26" s="52" t="s">
        <v>56</v>
      </c>
      <c r="I26" s="53">
        <v>1.25</v>
      </c>
      <c r="K26" s="3"/>
    </row>
    <row r="27" spans="1:11" x14ac:dyDescent="0.2">
      <c r="B27" s="24" t="s">
        <v>57</v>
      </c>
      <c r="C27" s="30"/>
      <c r="D27" s="30"/>
      <c r="E27" s="30"/>
      <c r="F27" s="30"/>
      <c r="G27" s="60"/>
      <c r="H27" s="52" t="s">
        <v>132</v>
      </c>
      <c r="I27" s="53">
        <v>1.22</v>
      </c>
      <c r="K27" s="3"/>
    </row>
    <row r="28" spans="1:11" ht="13.5" thickBot="1" x14ac:dyDescent="0.25">
      <c r="B28" s="28"/>
      <c r="C28" s="29"/>
      <c r="D28" s="30"/>
      <c r="E28" s="30"/>
      <c r="F28" s="30"/>
      <c r="G28" s="31"/>
      <c r="H28" s="58" t="s">
        <v>133</v>
      </c>
      <c r="I28" s="59">
        <v>1.17</v>
      </c>
    </row>
    <row r="29" spans="1:11" x14ac:dyDescent="0.2">
      <c r="B29" s="32" t="s">
        <v>58</v>
      </c>
      <c r="C29" s="30" t="s">
        <v>59</v>
      </c>
      <c r="D29" s="136">
        <v>96</v>
      </c>
      <c r="E29" s="30"/>
      <c r="F29" s="30"/>
      <c r="G29" s="31"/>
    </row>
    <row r="30" spans="1:11" x14ac:dyDescent="0.2">
      <c r="B30" s="32" t="s">
        <v>60</v>
      </c>
      <c r="C30" s="30" t="s">
        <v>26</v>
      </c>
      <c r="D30" s="17">
        <v>30</v>
      </c>
      <c r="E30" s="30"/>
      <c r="F30" s="30"/>
      <c r="G30" s="31"/>
    </row>
    <row r="31" spans="1:11" x14ac:dyDescent="0.2">
      <c r="B31" s="32" t="s">
        <v>61</v>
      </c>
      <c r="C31" s="30" t="s">
        <v>62</v>
      </c>
      <c r="D31" s="17">
        <v>46</v>
      </c>
      <c r="E31" s="30"/>
      <c r="F31" s="30"/>
      <c r="G31" s="31"/>
      <c r="K31" s="61"/>
    </row>
    <row r="32" spans="1:11" x14ac:dyDescent="0.2">
      <c r="B32" s="32" t="s">
        <v>63</v>
      </c>
      <c r="C32" s="30" t="s">
        <v>64</v>
      </c>
      <c r="D32" s="17">
        <v>52</v>
      </c>
      <c r="E32" s="30"/>
      <c r="F32" s="30"/>
      <c r="G32" s="31"/>
      <c r="K32" s="61"/>
    </row>
    <row r="33" spans="2:11" ht="13.5" thickBot="1" x14ac:dyDescent="0.25">
      <c r="B33" s="32" t="s">
        <v>65</v>
      </c>
      <c r="C33" s="62" t="s">
        <v>66</v>
      </c>
      <c r="D33" s="19">
        <v>3</v>
      </c>
      <c r="E33" s="30"/>
      <c r="F33" s="30"/>
      <c r="G33" s="31"/>
      <c r="K33" s="61"/>
    </row>
    <row r="34" spans="2:11" ht="13.5" thickBot="1" x14ac:dyDescent="0.25">
      <c r="B34" s="28"/>
      <c r="C34" s="30"/>
      <c r="D34" s="30"/>
      <c r="E34" s="29"/>
      <c r="F34" s="63"/>
      <c r="G34" s="31"/>
      <c r="K34" s="61"/>
    </row>
    <row r="35" spans="2:11" ht="13.5" thickBot="1" x14ac:dyDescent="0.25">
      <c r="B35" s="64" t="s">
        <v>67</v>
      </c>
      <c r="C35" s="30"/>
      <c r="D35" s="31"/>
      <c r="E35" s="30" t="s">
        <v>68</v>
      </c>
      <c r="F35" s="119">
        <f>((((D29+1.4)/(SQRT(D33)*SQRT(2)))/((2*D32*F25*F7*D30/1000*D31/1000)*(D11/D33))))</f>
        <v>43.476713315170599</v>
      </c>
      <c r="G35" s="31" t="s">
        <v>69</v>
      </c>
      <c r="J35" s="66"/>
    </row>
    <row r="36" spans="2:11" ht="13.5" thickBot="1" x14ac:dyDescent="0.25">
      <c r="B36" s="28"/>
      <c r="C36" s="30"/>
      <c r="D36" s="31"/>
      <c r="E36" s="30"/>
      <c r="F36" s="67"/>
      <c r="G36" s="31"/>
    </row>
    <row r="37" spans="2:11" ht="13.5" thickBot="1" x14ac:dyDescent="0.25">
      <c r="B37" s="64" t="s">
        <v>70</v>
      </c>
      <c r="C37" s="30"/>
      <c r="D37" s="31"/>
      <c r="E37" s="62" t="s">
        <v>68</v>
      </c>
      <c r="F37" s="65">
        <f>(((D29+1.4)/1.414)/(2*D32*F25*F7*D30/1000*D31/1000))/(D11/D33)</f>
        <v>75.315249869473277</v>
      </c>
      <c r="G37" s="31" t="s">
        <v>69</v>
      </c>
    </row>
    <row r="38" spans="2:11" ht="13.5" thickBot="1" x14ac:dyDescent="0.25">
      <c r="B38" s="68"/>
      <c r="C38" s="46"/>
      <c r="D38" s="46"/>
      <c r="E38" s="46"/>
      <c r="F38" s="46"/>
      <c r="G38" s="48"/>
    </row>
    <row r="39" spans="2:11" x14ac:dyDescent="0.2">
      <c r="B39" s="24" t="s">
        <v>71</v>
      </c>
      <c r="C39" s="12"/>
      <c r="D39" s="12"/>
      <c r="E39" s="12"/>
      <c r="F39" s="12"/>
      <c r="G39" s="13"/>
    </row>
    <row r="40" spans="2:11" ht="39" thickBot="1" x14ac:dyDescent="0.25">
      <c r="B40" s="10"/>
      <c r="C40" s="11"/>
      <c r="D40" s="12"/>
      <c r="E40" s="108" t="s">
        <v>121</v>
      </c>
      <c r="F40" s="109" t="s">
        <v>122</v>
      </c>
      <c r="G40" s="124" t="s">
        <v>123</v>
      </c>
    </row>
    <row r="41" spans="2:11" ht="13.5" thickBot="1" x14ac:dyDescent="0.25">
      <c r="B41" s="14" t="s">
        <v>72</v>
      </c>
      <c r="C41" s="12" t="s">
        <v>73</v>
      </c>
      <c r="D41" s="15">
        <v>0.6</v>
      </c>
      <c r="E41" s="110">
        <f>D43*PI()/4*D41^2</f>
        <v>2.2619467105846511</v>
      </c>
      <c r="F41" s="110">
        <v>6</v>
      </c>
      <c r="G41" s="110">
        <f>E41*F41</f>
        <v>13.571680263507908</v>
      </c>
      <c r="H41" t="s">
        <v>124</v>
      </c>
    </row>
    <row r="42" spans="2:11" ht="13.5" thickBot="1" x14ac:dyDescent="0.25">
      <c r="B42" s="14" t="s">
        <v>74</v>
      </c>
      <c r="C42" s="12" t="s">
        <v>75</v>
      </c>
      <c r="D42" s="17">
        <v>1.8</v>
      </c>
      <c r="E42" s="12"/>
      <c r="F42" s="12"/>
      <c r="G42" s="135">
        <f>G41*1.28</f>
        <v>17.371750737290121</v>
      </c>
      <c r="H42" t="s">
        <v>125</v>
      </c>
    </row>
    <row r="43" spans="2:11" x14ac:dyDescent="0.2">
      <c r="B43" s="14" t="s">
        <v>76</v>
      </c>
      <c r="C43" s="10" t="s">
        <v>77</v>
      </c>
      <c r="D43" s="17">
        <v>8</v>
      </c>
      <c r="E43" s="12" t="s">
        <v>126</v>
      </c>
      <c r="F43" s="12"/>
      <c r="G43" s="13"/>
    </row>
    <row r="44" spans="2:11" x14ac:dyDescent="0.2">
      <c r="B44" s="14" t="s">
        <v>78</v>
      </c>
      <c r="C44" s="51" t="s">
        <v>79</v>
      </c>
      <c r="D44" s="17">
        <v>0.3</v>
      </c>
      <c r="E44" s="12" t="s">
        <v>80</v>
      </c>
      <c r="F44" s="12"/>
      <c r="G44" s="13"/>
    </row>
    <row r="45" spans="2:11" ht="13.5" thickBot="1" x14ac:dyDescent="0.25">
      <c r="B45" s="14" t="s">
        <v>82</v>
      </c>
      <c r="C45" s="18" t="s">
        <v>83</v>
      </c>
      <c r="D45" s="19">
        <v>1.5</v>
      </c>
      <c r="E45" s="12" t="s">
        <v>80</v>
      </c>
      <c r="F45" s="12"/>
      <c r="G45" s="13"/>
    </row>
    <row r="46" spans="2:11" ht="13.5" thickBot="1" x14ac:dyDescent="0.25">
      <c r="B46" s="10"/>
      <c r="C46" s="51"/>
      <c r="D46" s="51"/>
      <c r="E46" s="11"/>
      <c r="F46" s="51"/>
      <c r="G46" s="13"/>
    </row>
    <row r="47" spans="2:11" ht="13.5" thickBot="1" x14ac:dyDescent="0.25">
      <c r="B47" s="64" t="s">
        <v>67</v>
      </c>
      <c r="C47" s="12"/>
      <c r="D47" s="12"/>
      <c r="E47" s="69" t="s">
        <v>85</v>
      </c>
      <c r="F47" s="70">
        <f>(PI()*((D41/2)*(D41/2))*F35*D43*D42)/D16</f>
        <v>16.092328691500697</v>
      </c>
      <c r="G47" s="13" t="s">
        <v>22</v>
      </c>
      <c r="H47" s="111">
        <f>F47+(2*(D45+D44))</f>
        <v>19.692328691500698</v>
      </c>
      <c r="I47" t="s">
        <v>127</v>
      </c>
    </row>
    <row r="48" spans="2:11" ht="13.5" thickBot="1" x14ac:dyDescent="0.25">
      <c r="B48" s="10"/>
      <c r="C48" s="12"/>
      <c r="D48" s="12"/>
      <c r="E48" s="69"/>
      <c r="F48" s="71" t="s">
        <v>87</v>
      </c>
      <c r="G48" s="13"/>
      <c r="H48" s="122"/>
    </row>
    <row r="49" spans="2:9" ht="13.5" thickBot="1" x14ac:dyDescent="0.25">
      <c r="B49" s="64" t="s">
        <v>70</v>
      </c>
      <c r="C49" s="12"/>
      <c r="D49" s="12"/>
      <c r="E49" s="105" t="s">
        <v>85</v>
      </c>
      <c r="F49" s="120">
        <f>(PI()*((D41/2)*(D41/2))*F37*D43*D42)/D16</f>
        <v>27.876940641673556</v>
      </c>
      <c r="G49" s="13" t="s">
        <v>22</v>
      </c>
      <c r="H49" s="111">
        <f>F49+(2*(D45+D44))</f>
        <v>31.476940641673558</v>
      </c>
      <c r="I49" t="s">
        <v>127</v>
      </c>
    </row>
    <row r="50" spans="2:9" ht="13.5" thickBot="1" x14ac:dyDescent="0.25">
      <c r="B50" s="10"/>
      <c r="C50" s="12"/>
      <c r="D50" s="12"/>
      <c r="E50" s="72" t="s">
        <v>90</v>
      </c>
      <c r="F50" s="121">
        <f>D24-D44-D44-D45-D45</f>
        <v>16.399999999999999</v>
      </c>
      <c r="G50" s="13" t="s">
        <v>22</v>
      </c>
    </row>
    <row r="51" spans="2:9" x14ac:dyDescent="0.2">
      <c r="B51" s="10"/>
      <c r="C51" s="12"/>
      <c r="D51" s="12"/>
      <c r="E51" s="12"/>
      <c r="F51" s="12"/>
      <c r="G51" s="13"/>
    </row>
    <row r="52" spans="2:9" ht="13.5" thickBot="1" x14ac:dyDescent="0.25">
      <c r="B52" s="10"/>
      <c r="C52" s="12"/>
      <c r="D52" s="12"/>
      <c r="E52" s="12"/>
      <c r="F52" s="12"/>
      <c r="G52" s="13"/>
    </row>
    <row r="53" spans="2:9" x14ac:dyDescent="0.2">
      <c r="B53" s="104" t="s">
        <v>91</v>
      </c>
      <c r="C53" s="106"/>
      <c r="D53" s="106"/>
      <c r="E53" s="106"/>
      <c r="F53" s="106"/>
      <c r="G53" s="60"/>
    </row>
    <row r="54" spans="2:9" ht="13.5" thickBot="1" x14ac:dyDescent="0.25">
      <c r="B54" s="28"/>
      <c r="C54" s="30"/>
      <c r="D54" s="30"/>
      <c r="E54" s="37"/>
      <c r="F54" s="30"/>
      <c r="G54" s="31"/>
    </row>
    <row r="55" spans="2:9" x14ac:dyDescent="0.2">
      <c r="B55" s="64" t="s">
        <v>67</v>
      </c>
      <c r="C55" s="30"/>
      <c r="D55" s="37"/>
      <c r="E55" s="39" t="s">
        <v>93</v>
      </c>
      <c r="F55" s="116">
        <f>D43*F35*(D13*2+D14+D15+D16*2)/1000</f>
        <v>62.95428088036703</v>
      </c>
      <c r="G55" s="31" t="s">
        <v>19</v>
      </c>
    </row>
    <row r="56" spans="2:9" x14ac:dyDescent="0.2">
      <c r="B56" s="28"/>
      <c r="C56" s="30"/>
      <c r="D56" s="37"/>
      <c r="E56" s="28" t="s">
        <v>94</v>
      </c>
      <c r="F56" s="117">
        <f>F55*D11</f>
        <v>2455.2169543343143</v>
      </c>
      <c r="G56" s="31" t="s">
        <v>19</v>
      </c>
    </row>
    <row r="57" spans="2:9" ht="13.5" thickBot="1" x14ac:dyDescent="0.25">
      <c r="B57" s="28"/>
      <c r="C57" s="30"/>
      <c r="D57" s="37"/>
      <c r="E57" s="41" t="s">
        <v>95</v>
      </c>
      <c r="F57" s="118">
        <f>100*PI()*(D41/2)^2*(F55/100)*8.96*D11</f>
        <v>6219.9983032635473</v>
      </c>
      <c r="G57" s="31" t="s">
        <v>96</v>
      </c>
    </row>
    <row r="58" spans="2:9" ht="13.5" thickBot="1" x14ac:dyDescent="0.25">
      <c r="B58" s="28"/>
      <c r="C58" s="30"/>
      <c r="D58" s="37"/>
      <c r="E58" s="37"/>
      <c r="F58" s="74"/>
      <c r="G58" s="31"/>
    </row>
    <row r="59" spans="2:9" x14ac:dyDescent="0.2">
      <c r="B59" s="64" t="s">
        <v>70</v>
      </c>
      <c r="C59" s="30"/>
      <c r="D59" s="37"/>
      <c r="E59" s="39" t="s">
        <v>93</v>
      </c>
      <c r="F59" s="42">
        <f>D43*F37*(D13*2+D14+D15+D16*2)/1000</f>
        <v>109.0564818109973</v>
      </c>
      <c r="G59" s="31" t="s">
        <v>19</v>
      </c>
    </row>
    <row r="60" spans="2:9" x14ac:dyDescent="0.2">
      <c r="B60" s="28"/>
      <c r="C60" s="30"/>
      <c r="D60" s="37"/>
      <c r="E60" s="28" t="s">
        <v>94</v>
      </c>
      <c r="F60" s="73">
        <f>F59*D11</f>
        <v>4253.2027906288949</v>
      </c>
      <c r="G60" s="31" t="s">
        <v>19</v>
      </c>
    </row>
    <row r="61" spans="2:9" ht="13.5" thickBot="1" x14ac:dyDescent="0.25">
      <c r="B61" s="28"/>
      <c r="C61" s="30"/>
      <c r="D61" s="37"/>
      <c r="E61" s="41" t="s">
        <v>95</v>
      </c>
      <c r="F61" s="112">
        <f>100*PI()*(D41/2)^2*(F59/100)*8.96*D11</f>
        <v>10774.980229117986</v>
      </c>
      <c r="G61" s="31" t="s">
        <v>96</v>
      </c>
    </row>
    <row r="62" spans="2:9" ht="13.5" thickBot="1" x14ac:dyDescent="0.25">
      <c r="B62" s="68"/>
      <c r="C62" s="46"/>
      <c r="D62" s="46"/>
      <c r="E62" s="46"/>
      <c r="F62" s="46"/>
      <c r="G62" s="48"/>
    </row>
    <row r="63" spans="2:9" x14ac:dyDescent="0.2">
      <c r="B63" s="24" t="s">
        <v>97</v>
      </c>
      <c r="C63" s="12"/>
      <c r="D63" s="12"/>
      <c r="E63" s="12"/>
      <c r="F63" s="12"/>
      <c r="G63" s="13"/>
    </row>
    <row r="64" spans="2:9" ht="13.5" thickBot="1" x14ac:dyDescent="0.25">
      <c r="B64" s="10"/>
      <c r="C64" s="11"/>
      <c r="D64" s="12"/>
      <c r="E64" s="12"/>
      <c r="F64" s="12"/>
      <c r="G64" s="13"/>
    </row>
    <row r="65" spans="1:9" ht="13.5" thickBot="1" x14ac:dyDescent="0.25">
      <c r="B65" s="14" t="s">
        <v>98</v>
      </c>
      <c r="C65" s="75" t="s">
        <v>99</v>
      </c>
      <c r="D65" s="76">
        <v>1.78E-2</v>
      </c>
      <c r="E65" s="12"/>
      <c r="F65" s="12"/>
      <c r="G65" s="13"/>
    </row>
    <row r="66" spans="1:9" ht="13.5" thickBot="1" x14ac:dyDescent="0.25">
      <c r="B66" s="10"/>
      <c r="C66" s="12"/>
      <c r="D66" s="12"/>
      <c r="E66" s="11"/>
      <c r="F66" s="51"/>
      <c r="G66" s="13"/>
    </row>
    <row r="67" spans="1:9" ht="13.5" thickBot="1" x14ac:dyDescent="0.25">
      <c r="B67" s="64" t="s">
        <v>67</v>
      </c>
      <c r="C67" s="12"/>
      <c r="D67" s="13"/>
      <c r="E67" s="12" t="s">
        <v>100</v>
      </c>
      <c r="F67" s="115">
        <f>(((F55/D43)*D65*D11*2/D33)/((PI()*((D41/2)*(D41/2)))*D43))</f>
        <v>1.6100755742330906</v>
      </c>
      <c r="G67" s="13" t="s">
        <v>81</v>
      </c>
    </row>
    <row r="68" spans="1:9" ht="13.5" thickBot="1" x14ac:dyDescent="0.25">
      <c r="B68" s="10"/>
      <c r="C68" s="12"/>
      <c r="D68" s="13"/>
      <c r="E68" s="12"/>
      <c r="F68" s="13"/>
      <c r="G68" s="13"/>
      <c r="H68" s="3"/>
      <c r="I68" s="3"/>
    </row>
    <row r="69" spans="1:9" ht="13.5" thickBot="1" x14ac:dyDescent="0.25">
      <c r="B69" s="64" t="s">
        <v>70</v>
      </c>
      <c r="C69" s="12"/>
      <c r="D69" s="13"/>
      <c r="E69" s="77" t="s">
        <v>100</v>
      </c>
      <c r="F69" s="20">
        <f>((((F59/D43)*D65*D11*2/D33)/((PI()*((D41/2)*(D41/2)))*D43)))/3</f>
        <v>0.9297179642125627</v>
      </c>
      <c r="G69" s="13" t="s">
        <v>81</v>
      </c>
      <c r="H69" s="3"/>
      <c r="I69" s="3"/>
    </row>
    <row r="70" spans="1:9" x14ac:dyDescent="0.2">
      <c r="B70" s="10"/>
      <c r="C70" s="12"/>
      <c r="D70" s="12"/>
      <c r="E70" s="12"/>
      <c r="F70" s="12"/>
      <c r="G70" s="13"/>
    </row>
    <row r="71" spans="1:9" ht="13.5" thickBot="1" x14ac:dyDescent="0.25">
      <c r="B71" s="21"/>
      <c r="C71" s="22"/>
      <c r="D71" s="22"/>
      <c r="E71" s="22"/>
      <c r="F71" s="22"/>
      <c r="G71" s="23"/>
    </row>
    <row r="72" spans="1:9" x14ac:dyDescent="0.2">
      <c r="B72" s="24" t="s">
        <v>101</v>
      </c>
      <c r="C72" s="30"/>
      <c r="D72" s="30"/>
      <c r="E72" s="30"/>
      <c r="F72" s="30"/>
      <c r="G72" s="31"/>
    </row>
    <row r="73" spans="1:9" ht="15" x14ac:dyDescent="0.25">
      <c r="B73" s="99" t="s">
        <v>102</v>
      </c>
      <c r="C73" s="30"/>
      <c r="D73" s="30"/>
      <c r="E73" s="30"/>
      <c r="F73" s="30"/>
      <c r="G73" s="31"/>
    </row>
    <row r="74" spans="1:9" ht="13.5" thickBot="1" x14ac:dyDescent="0.25">
      <c r="B74" s="28"/>
      <c r="C74" s="30"/>
      <c r="D74" s="30"/>
      <c r="E74" s="78" t="s">
        <v>67</v>
      </c>
      <c r="F74" s="30"/>
      <c r="G74" s="31"/>
    </row>
    <row r="75" spans="1:9" x14ac:dyDescent="0.2">
      <c r="B75" s="79" t="s">
        <v>103</v>
      </c>
      <c r="C75" s="37" t="s">
        <v>104</v>
      </c>
      <c r="D75" s="80">
        <v>1.23</v>
      </c>
      <c r="E75" s="81" t="s">
        <v>89</v>
      </c>
      <c r="F75" s="82">
        <f>0.5*D75*D76*0.01*D78^3*D7^2*0.25*PI()</f>
        <v>48.688402945334609</v>
      </c>
      <c r="G75" s="31" t="s">
        <v>105</v>
      </c>
    </row>
    <row r="76" spans="1:9" x14ac:dyDescent="0.2">
      <c r="B76" s="79" t="s">
        <v>106</v>
      </c>
      <c r="C76" s="37" t="s">
        <v>92</v>
      </c>
      <c r="D76" s="83">
        <v>35</v>
      </c>
      <c r="E76" s="81" t="s">
        <v>118</v>
      </c>
      <c r="F76" s="84">
        <f>(D41^4*D32^2*F25^2*D80^2*D13*0.001*D11*2*F35*D43*PI())/(144*10^8*D65)</f>
        <v>4.6368429977145329</v>
      </c>
      <c r="G76" s="31" t="s">
        <v>105</v>
      </c>
    </row>
    <row r="77" spans="1:9" x14ac:dyDescent="0.2">
      <c r="B77" s="79" t="s">
        <v>108</v>
      </c>
      <c r="C77" s="37" t="s">
        <v>86</v>
      </c>
      <c r="D77" s="83">
        <v>1.2</v>
      </c>
      <c r="E77" s="81" t="s">
        <v>119</v>
      </c>
      <c r="F77" s="84">
        <f>F75-F76</f>
        <v>44.051559947620078</v>
      </c>
      <c r="G77" s="31" t="s">
        <v>105</v>
      </c>
    </row>
    <row r="78" spans="1:9" ht="13.5" thickBot="1" x14ac:dyDescent="0.25">
      <c r="B78" s="79" t="s">
        <v>110</v>
      </c>
      <c r="C78" s="37" t="s">
        <v>28</v>
      </c>
      <c r="D78" s="87">
        <v>2</v>
      </c>
      <c r="E78" s="81" t="s">
        <v>107</v>
      </c>
      <c r="F78" s="84">
        <f>SQRT((D29*D29+2*F77*F67)/(2*F67*F67)-SQRT((D29^2+2*F77*F67)^2/(4*F67^4)-(F77^2/F67^2)))</f>
        <v>0.45539228172050478</v>
      </c>
      <c r="G78" s="31" t="s">
        <v>88</v>
      </c>
    </row>
    <row r="79" spans="1:9" ht="13.5" thickBot="1" x14ac:dyDescent="0.25">
      <c r="A79" s="89"/>
      <c r="B79" s="28"/>
      <c r="C79" s="30"/>
      <c r="D79" s="31"/>
      <c r="E79" s="85" t="s">
        <v>109</v>
      </c>
      <c r="F79" s="86">
        <f>F77-F78^2*F67</f>
        <v>43.717659045171146</v>
      </c>
      <c r="G79" s="31" t="s">
        <v>105</v>
      </c>
    </row>
    <row r="80" spans="1:9" ht="13.5" thickBot="1" x14ac:dyDescent="0.25">
      <c r="A80" s="90"/>
      <c r="B80" s="79" t="s">
        <v>120</v>
      </c>
      <c r="C80" s="37" t="s">
        <v>84</v>
      </c>
      <c r="D80" s="103">
        <v>44.563384065730695</v>
      </c>
      <c r="E80" s="85" t="s">
        <v>111</v>
      </c>
      <c r="F80" s="86">
        <f>F79*100/F75</f>
        <v>89.7907025092928</v>
      </c>
      <c r="G80" s="31" t="s">
        <v>92</v>
      </c>
    </row>
    <row r="81" spans="1:9" x14ac:dyDescent="0.2">
      <c r="A81" s="92"/>
      <c r="B81" s="28"/>
      <c r="C81" s="30"/>
      <c r="D81" s="31"/>
      <c r="E81" s="85" t="s">
        <v>112</v>
      </c>
      <c r="F81" s="88">
        <f>F78^2*F67</f>
        <v>0.33390090244892862</v>
      </c>
      <c r="G81" s="31" t="s">
        <v>105</v>
      </c>
    </row>
    <row r="82" spans="1:9" x14ac:dyDescent="0.2">
      <c r="A82" s="92"/>
      <c r="B82" s="28"/>
      <c r="C82" s="37"/>
      <c r="D82" s="91"/>
      <c r="E82" s="81" t="s">
        <v>113</v>
      </c>
      <c r="F82" s="84">
        <f>D77*F78</f>
        <v>0.54647073806460567</v>
      </c>
      <c r="G82" s="31" t="s">
        <v>105</v>
      </c>
    </row>
    <row r="83" spans="1:9" x14ac:dyDescent="0.2">
      <c r="B83" s="28"/>
      <c r="C83" s="37"/>
      <c r="D83" s="91"/>
      <c r="E83" s="81" t="s">
        <v>114</v>
      </c>
      <c r="F83" s="86">
        <f>F79-F82</f>
        <v>43.17118830710654</v>
      </c>
      <c r="G83" s="31" t="s">
        <v>105</v>
      </c>
      <c r="H83" s="123"/>
      <c r="I83" s="123"/>
    </row>
    <row r="84" spans="1:9" x14ac:dyDescent="0.2">
      <c r="B84" s="79"/>
      <c r="C84" s="37"/>
      <c r="D84" s="91"/>
      <c r="E84" s="81" t="s">
        <v>115</v>
      </c>
      <c r="F84" s="84">
        <f>F83/D29</f>
        <v>0.44969987819902646</v>
      </c>
      <c r="G84" s="31" t="s">
        <v>88</v>
      </c>
    </row>
    <row r="85" spans="1:9" x14ac:dyDescent="0.2">
      <c r="B85" s="79"/>
      <c r="C85" s="37"/>
      <c r="D85" s="91"/>
      <c r="E85" s="85" t="s">
        <v>116</v>
      </c>
      <c r="F85" s="86">
        <f>F83/F75*100</f>
        <v>88.668318727926703</v>
      </c>
      <c r="G85" s="31" t="s">
        <v>92</v>
      </c>
      <c r="H85" s="3"/>
      <c r="I85" s="3"/>
    </row>
    <row r="86" spans="1:9" ht="13.5" thickBot="1" x14ac:dyDescent="0.25">
      <c r="B86" s="79"/>
      <c r="C86" s="37"/>
      <c r="D86" s="37"/>
      <c r="E86" s="102" t="s">
        <v>117</v>
      </c>
      <c r="F86" s="101">
        <f>F83/F75*D76</f>
        <v>31.033911554774345</v>
      </c>
      <c r="G86" s="31" t="s">
        <v>92</v>
      </c>
      <c r="H86" s="3"/>
      <c r="I86" s="3"/>
    </row>
    <row r="87" spans="1:9" x14ac:dyDescent="0.2">
      <c r="B87" s="79"/>
      <c r="C87" s="37"/>
      <c r="D87" s="37"/>
      <c r="E87" s="107"/>
      <c r="F87" s="37"/>
      <c r="G87" s="31"/>
      <c r="H87" s="3"/>
      <c r="I87" s="3"/>
    </row>
    <row r="88" spans="1:9" x14ac:dyDescent="0.2">
      <c r="B88" s="79"/>
      <c r="C88" s="37"/>
      <c r="D88" s="37"/>
      <c r="E88" s="37"/>
      <c r="F88" s="37"/>
      <c r="G88" s="31"/>
    </row>
    <row r="89" spans="1:9" ht="13.5" thickBot="1" x14ac:dyDescent="0.25">
      <c r="B89" s="79"/>
      <c r="C89" s="37"/>
      <c r="D89" s="94"/>
      <c r="E89" s="78" t="s">
        <v>70</v>
      </c>
      <c r="F89" s="45"/>
      <c r="G89" s="31"/>
    </row>
    <row r="90" spans="1:9" x14ac:dyDescent="0.2">
      <c r="B90" s="79"/>
      <c r="C90" s="94"/>
      <c r="D90" s="31"/>
      <c r="E90" s="81" t="s">
        <v>89</v>
      </c>
      <c r="F90" s="82">
        <f>(0.5*D75*(PI()*((D7/2)*(D7/2)))*(D78*D78*D78)*(D76/100))</f>
        <v>48.688402945334609</v>
      </c>
      <c r="G90" s="31" t="s">
        <v>105</v>
      </c>
    </row>
    <row r="91" spans="1:9" x14ac:dyDescent="0.2">
      <c r="B91" s="79"/>
      <c r="C91" s="94"/>
      <c r="D91" s="31"/>
      <c r="E91" s="81" t="s">
        <v>118</v>
      </c>
      <c r="F91" s="84">
        <f>(D41^4*D32^2*F25^2*D80^2*D13*0.001*D11*2*PI()*F37*D43)/(144*10^8*D65)</f>
        <v>8.0324606519078863</v>
      </c>
      <c r="G91" s="31" t="s">
        <v>105</v>
      </c>
    </row>
    <row r="92" spans="1:9" x14ac:dyDescent="0.2">
      <c r="B92" s="79"/>
      <c r="C92" s="94"/>
      <c r="D92" s="31"/>
      <c r="E92" s="81" t="s">
        <v>119</v>
      </c>
      <c r="F92" s="84">
        <f>F90-F91</f>
        <v>40.655942293426719</v>
      </c>
      <c r="G92" s="31" t="s">
        <v>105</v>
      </c>
    </row>
    <row r="93" spans="1:9" x14ac:dyDescent="0.2">
      <c r="B93" s="79"/>
      <c r="C93" s="94"/>
      <c r="D93" s="31"/>
      <c r="E93" s="81" t="s">
        <v>107</v>
      </c>
      <c r="F93" s="84">
        <f>SQRT((D29*D29+2*F92*F69)/(2*F69*F69)-SQRT((D29^2+2*F92*F69)^2/(4*F69^4)-(F92^2/F69^2)))</f>
        <v>0.42177655919856205</v>
      </c>
      <c r="G93" s="31" t="s">
        <v>88</v>
      </c>
    </row>
    <row r="94" spans="1:9" x14ac:dyDescent="0.2">
      <c r="B94" s="28"/>
      <c r="C94" s="37"/>
      <c r="D94" s="31"/>
      <c r="E94" s="85" t="s">
        <v>109</v>
      </c>
      <c r="F94" s="86">
        <f>F92-F93^2*F69</f>
        <v>40.490549683037401</v>
      </c>
      <c r="G94" s="31" t="s">
        <v>105</v>
      </c>
    </row>
    <row r="95" spans="1:9" x14ac:dyDescent="0.2">
      <c r="B95" s="79"/>
      <c r="C95" s="94"/>
      <c r="D95" s="31"/>
      <c r="E95" s="85" t="s">
        <v>111</v>
      </c>
      <c r="F95" s="86">
        <f>F94*100/F90</f>
        <v>83.162616215813387</v>
      </c>
      <c r="G95" s="31" t="s">
        <v>92</v>
      </c>
    </row>
    <row r="96" spans="1:9" x14ac:dyDescent="0.2">
      <c r="B96" s="79"/>
      <c r="C96" s="94"/>
      <c r="D96" s="31"/>
      <c r="E96" s="85" t="s">
        <v>112</v>
      </c>
      <c r="F96" s="88">
        <f>F93^2*F69</f>
        <v>0.16539261038931802</v>
      </c>
      <c r="G96" s="31" t="s">
        <v>105</v>
      </c>
    </row>
    <row r="97" spans="2:9" x14ac:dyDescent="0.2">
      <c r="B97" s="36"/>
      <c r="C97" s="74"/>
      <c r="D97" s="31"/>
      <c r="E97" s="81" t="s">
        <v>113</v>
      </c>
      <c r="F97" s="84">
        <f>D77*F93</f>
        <v>0.50613187103827439</v>
      </c>
      <c r="G97" s="31" t="s">
        <v>105</v>
      </c>
      <c r="H97" s="122"/>
      <c r="I97" s="122"/>
    </row>
    <row r="98" spans="2:9" x14ac:dyDescent="0.2">
      <c r="B98" s="36"/>
      <c r="C98" s="74"/>
      <c r="D98" s="31"/>
      <c r="E98" s="81" t="s">
        <v>114</v>
      </c>
      <c r="F98" s="84">
        <f>F94-F97</f>
        <v>39.984417811999123</v>
      </c>
      <c r="G98" s="31" t="s">
        <v>105</v>
      </c>
    </row>
    <row r="99" spans="2:9" x14ac:dyDescent="0.2">
      <c r="B99" s="36"/>
      <c r="C99" s="74"/>
      <c r="D99" s="31"/>
      <c r="E99" s="81" t="s">
        <v>115</v>
      </c>
      <c r="F99" s="84">
        <f>F98/D29</f>
        <v>0.41650435220832421</v>
      </c>
      <c r="G99" s="31" t="s">
        <v>88</v>
      </c>
    </row>
    <row r="100" spans="2:9" x14ac:dyDescent="0.2">
      <c r="B100" s="36"/>
      <c r="C100" s="74"/>
      <c r="D100" s="31"/>
      <c r="E100" s="85" t="s">
        <v>116</v>
      </c>
      <c r="F100" s="86">
        <f>F98*100/F90</f>
        <v>82.123083513115077</v>
      </c>
      <c r="G100" s="31" t="s">
        <v>92</v>
      </c>
    </row>
    <row r="101" spans="2:9" ht="13.5" thickBot="1" x14ac:dyDescent="0.25">
      <c r="B101" s="36"/>
      <c r="C101" s="74"/>
      <c r="D101" s="31"/>
      <c r="E101" s="95" t="s">
        <v>117</v>
      </c>
      <c r="F101" s="93">
        <f>F95*D76/100</f>
        <v>29.106915675534683</v>
      </c>
      <c r="G101" s="31" t="s">
        <v>92</v>
      </c>
    </row>
    <row r="102" spans="2:9" ht="13.5" thickBot="1" x14ac:dyDescent="0.25">
      <c r="B102" s="68"/>
      <c r="C102" s="46"/>
      <c r="D102" s="46"/>
      <c r="E102" s="96"/>
      <c r="F102" s="97"/>
      <c r="G102" s="48"/>
    </row>
    <row r="125" spans="1:1" x14ac:dyDescent="0.2">
      <c r="A125" s="98"/>
    </row>
    <row r="142" spans="1:1" x14ac:dyDescent="0.2">
      <c r="A142" s="30"/>
    </row>
  </sheetData>
  <sheetProtection selectLockedCells="1" selectUnlockedCells="1"/>
  <mergeCells count="1">
    <mergeCell ref="H2:I2"/>
  </mergeCells>
  <conditionalFormatting sqref="F47">
    <cfRule type="cellIs" dxfId="15" priority="16" stopIfTrue="1" operator="greaterThan">
      <formula>$D$24-(2*$D$44)-(2*$D$45)</formula>
    </cfRule>
  </conditionalFormatting>
  <conditionalFormatting sqref="F49">
    <cfRule type="cellIs" dxfId="14" priority="17" stopIfTrue="1" operator="greaterThan">
      <formula>$D$24-(2*$D$44)-(2*$D$45)</formula>
    </cfRule>
  </conditionalFormatting>
  <conditionalFormatting sqref="G42">
    <cfRule type="cellIs" dxfId="13" priority="30" operator="lessThan">
      <formula>#REF!</formula>
    </cfRule>
  </conditionalFormatting>
  <conditionalFormatting sqref="F18">
    <cfRule type="cellIs" dxfId="12" priority="33" operator="notBetween">
      <formula>#REF!</formula>
      <formula>#REF!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>
      <selection activeCell="M5" sqref="M5"/>
    </sheetView>
  </sheetViews>
  <sheetFormatPr baseColWidth="10" defaultRowHeight="12.75" x14ac:dyDescent="0.2"/>
  <cols>
    <col min="6" max="6" width="12.85546875" customWidth="1"/>
    <col min="11" max="11" width="27.140625" customWidth="1"/>
    <col min="12" max="12" width="20.85546875" customWidth="1"/>
    <col min="13" max="13" width="18.85546875" customWidth="1"/>
  </cols>
  <sheetData>
    <row r="1" spans="1:13" x14ac:dyDescent="0.2">
      <c r="K1" s="129" t="s">
        <v>129</v>
      </c>
      <c r="L1" s="129" t="s">
        <v>130</v>
      </c>
    </row>
    <row r="2" spans="1:13" x14ac:dyDescent="0.2">
      <c r="K2" s="130">
        <v>4.79</v>
      </c>
      <c r="L2" s="131">
        <v>2.4</v>
      </c>
    </row>
    <row r="3" spans="1:13" ht="15" x14ac:dyDescent="0.2">
      <c r="A3" s="129" t="s">
        <v>134</v>
      </c>
      <c r="B3" s="129" t="s">
        <v>135</v>
      </c>
      <c r="C3" s="129" t="s">
        <v>136</v>
      </c>
      <c r="D3" s="129" t="s">
        <v>138</v>
      </c>
      <c r="E3" s="129" t="s">
        <v>144</v>
      </c>
      <c r="F3" s="129" t="s">
        <v>137</v>
      </c>
      <c r="G3" s="129" t="s">
        <v>139</v>
      </c>
      <c r="H3" s="129" t="s">
        <v>140</v>
      </c>
      <c r="I3" s="129" t="s">
        <v>141</v>
      </c>
      <c r="J3" s="129" t="s">
        <v>142</v>
      </c>
      <c r="K3" s="132" t="s">
        <v>143</v>
      </c>
      <c r="L3" s="133" t="s">
        <v>131</v>
      </c>
      <c r="M3" s="133" t="s">
        <v>128</v>
      </c>
    </row>
    <row r="4" spans="1:13" x14ac:dyDescent="0.2">
      <c r="A4" s="131">
        <v>0</v>
      </c>
      <c r="B4" s="131">
        <f>Sheet!$D$5*A4*60/(Sheet!$D$7*PI())</f>
        <v>0</v>
      </c>
      <c r="C4" s="131">
        <f>MAX((Sheet!$F$35*(SQRT(Sheet!$D$33)*SQRT(2))*(2*Sheet!$D$32*Sheet!$F$25*B4/60*Sheet!$D$30/1000*Sheet!$D$31/1000)*(Sheet!$D$11/Sheet!$D$33))-1.4,0)</f>
        <v>0</v>
      </c>
      <c r="D4" s="131">
        <f>(Sheet!$D$41^4*Sheet!$D$32^2*Sheet!$F$25^2*B4^2*Sheet!$D$13*0.001*Sheet!$D$11*2*Sheet!$F$35*Sheet!$D$43*PI())/(144*10^8*Sheet!$D$65)</f>
        <v>0</v>
      </c>
      <c r="E4" s="131">
        <f>A4^3*Sheet!$D$75/2*Sheet!$D$7^2/4*PI()*Sheet!$D$76/100</f>
        <v>0</v>
      </c>
      <c r="F4" s="131">
        <f>MAX(E4-D4,0)</f>
        <v>0</v>
      </c>
      <c r="G4" s="131">
        <f>IF(F4=0,0,SQRT((C4^2+2*F4*Sheet!$F$67)/(2*Sheet!$F$67^2)-SQRT((C4^2+2*F4*Sheet!$F$67)^2/(4*Sheet!$F$67^4)-(F4^2/Sheet!$F$67^2))))</f>
        <v>0</v>
      </c>
      <c r="H4" s="131">
        <f>G4^2*Sheet!$F$67</f>
        <v>0</v>
      </c>
      <c r="I4" s="131">
        <f>G4*Sheet!$D$77</f>
        <v>0</v>
      </c>
      <c r="J4" s="131">
        <f>F4-H4-I4</f>
        <v>0</v>
      </c>
      <c r="K4" s="131">
        <f>$L$2/$K$2*(A4/$K$2)^($L$2-1)*EXP(-((A4/$K$2)^($L$2)))/10</f>
        <v>0</v>
      </c>
      <c r="L4" s="131">
        <f>J4*K4*365*24/1000</f>
        <v>0</v>
      </c>
      <c r="M4" s="131">
        <f>SUM(L4:L124)</f>
        <v>6225.035605515207</v>
      </c>
    </row>
    <row r="5" spans="1:13" x14ac:dyDescent="0.2">
      <c r="A5" s="131">
        <v>0.1</v>
      </c>
      <c r="B5" s="131">
        <f>Sheet!$D$5*A5*60/(Sheet!$D$7*PI())</f>
        <v>2.228169203286535</v>
      </c>
      <c r="C5" s="131">
        <f>MAX((Sheet!$F$35*(SQRT(Sheet!$D$33)*SQRT(2))*(2*Sheet!$D$32*Sheet!$F$25*B5/60*Sheet!$D$30/1000*Sheet!$D$31/1000)*(Sheet!$D$11/Sheet!$D$33))-1.4,0)</f>
        <v>3.470000000000002</v>
      </c>
      <c r="D5" s="131">
        <f>(Sheet!$D$41^4*Sheet!$D$32^2*Sheet!$F$25^2*B5^2*Sheet!$D$13*0.001*Sheet!$D$11*2*Sheet!$F$35*Sheet!$D$43*PI())/(144*10^8*Sheet!$D$65)</f>
        <v>1.1592107494286338E-2</v>
      </c>
      <c r="E5" s="131">
        <f>A5^3*Sheet!$D$75/2*Sheet!$D$7^2/4*PI()*Sheet!$D$76/100</f>
        <v>6.0860503681668277E-3</v>
      </c>
      <c r="F5" s="131">
        <f t="shared" ref="F5:F68" si="0">MAX(E5-D5,0)</f>
        <v>0</v>
      </c>
      <c r="G5" s="131">
        <f>IF(F5=0,0,SQRT((C5^2+2*F5*Sheet!$F$67)/(2*Sheet!$F$67^2)-SQRT((C5^2+2*F5*Sheet!$F$67)^2/(4*Sheet!$F$67^4)-(F5^2/Sheet!$F$67^2))))</f>
        <v>0</v>
      </c>
      <c r="H5" s="131">
        <f>G5^2*Sheet!$F$67</f>
        <v>0</v>
      </c>
      <c r="I5" s="131">
        <f>G5*Sheet!$D$77</f>
        <v>0</v>
      </c>
      <c r="J5" s="131">
        <f t="shared" ref="J5:J68" si="1">F5-H5-I5</f>
        <v>0</v>
      </c>
      <c r="K5" s="131">
        <f t="shared" ref="K5:K68" si="2">$L$2/$K$2*(A5/$K$2)^($L$2-1)*EXP(-((A5/$K$2)^($L$2)))/10</f>
        <v>2.2251830328111054E-4</v>
      </c>
      <c r="L5" s="131">
        <f t="shared" ref="L5:L68" si="3">J5*K5*365*24/1000</f>
        <v>0</v>
      </c>
    </row>
    <row r="6" spans="1:13" x14ac:dyDescent="0.2">
      <c r="A6" s="131">
        <v>0.2</v>
      </c>
      <c r="B6" s="131">
        <f>Sheet!$D$5*A6*60/(Sheet!$D$7*PI())</f>
        <v>4.45633840657307</v>
      </c>
      <c r="C6" s="131">
        <f>MAX((Sheet!$F$35*(SQRT(Sheet!$D$33)*SQRT(2))*(2*Sheet!$D$32*Sheet!$F$25*B6/60*Sheet!$D$30/1000*Sheet!$D$31/1000)*(Sheet!$D$11/Sheet!$D$33))-1.4,0)</f>
        <v>8.3400000000000034</v>
      </c>
      <c r="D6" s="131">
        <f>(Sheet!$D$41^4*Sheet!$D$32^2*Sheet!$F$25^2*B6^2*Sheet!$D$13*0.001*Sheet!$D$11*2*Sheet!$F$35*Sheet!$D$43*PI())/(144*10^8*Sheet!$D$65)</f>
        <v>4.6368429977145353E-2</v>
      </c>
      <c r="E6" s="131">
        <f>A6^3*Sheet!$D$75/2*Sheet!$D$7^2/4*PI()*Sheet!$D$76/100</f>
        <v>4.8688402945334622E-2</v>
      </c>
      <c r="F6" s="131">
        <f t="shared" si="0"/>
        <v>2.3199729681892683E-3</v>
      </c>
      <c r="G6" s="131">
        <f>IF(F6=0,0,SQRT((C6^2+2*F6*Sheet!$F$67)/(2*Sheet!$F$67^2)-SQRT((C6^2+2*F6*Sheet!$F$67)^2/(4*Sheet!$F$67^4)-(F6^2/Sheet!$F$67^2))))</f>
        <v>2.7815927952087974E-4</v>
      </c>
      <c r="H6" s="131">
        <f>G6^2*Sheet!$F$67</f>
        <v>1.2457570887531285E-7</v>
      </c>
      <c r="I6" s="131">
        <f>G6*Sheet!$D$77</f>
        <v>3.3379113542505567E-4</v>
      </c>
      <c r="J6" s="131">
        <f t="shared" si="1"/>
        <v>1.9860572570553374E-3</v>
      </c>
      <c r="K6" s="131">
        <f t="shared" si="2"/>
        <v>5.8699642783810663E-4</v>
      </c>
      <c r="L6" s="131">
        <f t="shared" si="3"/>
        <v>1.0212482594671258E-5</v>
      </c>
    </row>
    <row r="7" spans="1:13" x14ac:dyDescent="0.2">
      <c r="A7" s="131">
        <v>0.30000000000000004</v>
      </c>
      <c r="B7" s="131">
        <f>Sheet!$D$5*A7*60/(Sheet!$D$7*PI())</f>
        <v>6.6845076098596055</v>
      </c>
      <c r="C7" s="131">
        <f>MAX((Sheet!$F$35*(SQRT(Sheet!$D$33)*SQRT(2))*(2*Sheet!$D$32*Sheet!$F$25*B7/60*Sheet!$D$30/1000*Sheet!$D$31/1000)*(Sheet!$D$11/Sheet!$D$33))-1.4,0)</f>
        <v>13.210000000000004</v>
      </c>
      <c r="D7" s="131">
        <f>(Sheet!$D$41^4*Sheet!$D$32^2*Sheet!$F$25^2*B7^2*Sheet!$D$13*0.001*Sheet!$D$11*2*Sheet!$F$35*Sheet!$D$43*PI())/(144*10^8*Sheet!$D$65)</f>
        <v>0.10432896744857703</v>
      </c>
      <c r="E7" s="131">
        <f>A7^3*Sheet!$D$75/2*Sheet!$D$7^2/4*PI()*Sheet!$D$76/100</f>
        <v>0.16432335994050437</v>
      </c>
      <c r="F7" s="131">
        <f t="shared" si="0"/>
        <v>5.999439249192734E-2</v>
      </c>
      <c r="G7" s="131">
        <f>IF(F7=0,0,SQRT((C7^2+2*F7*Sheet!$F$67)/(2*Sheet!$F$67^2)-SQRT((C7^2+2*F7*Sheet!$F$67)^2/(4*Sheet!$F$67^4)-(F7^2/Sheet!$F$67^2))))</f>
        <v>4.5390779521398816E-3</v>
      </c>
      <c r="H7" s="131">
        <f>G7^2*Sheet!$F$67</f>
        <v>3.3172755208724672E-5</v>
      </c>
      <c r="I7" s="131">
        <f>G7*Sheet!$D$77</f>
        <v>5.4468935425678574E-3</v>
      </c>
      <c r="J7" s="131">
        <f t="shared" si="1"/>
        <v>5.4514326194150753E-2</v>
      </c>
      <c r="K7" s="131">
        <f t="shared" si="2"/>
        <v>1.0346973434108948E-3</v>
      </c>
      <c r="L7" s="131">
        <f t="shared" si="3"/>
        <v>4.9411505758048318E-4</v>
      </c>
    </row>
    <row r="8" spans="1:13" x14ac:dyDescent="0.2">
      <c r="A8" s="131">
        <v>0.4</v>
      </c>
      <c r="B8" s="131">
        <f>Sheet!$D$5*A8*60/(Sheet!$D$7*PI())</f>
        <v>8.91267681314614</v>
      </c>
      <c r="C8" s="131">
        <f>MAX((Sheet!$F$35*(SQRT(Sheet!$D$33)*SQRT(2))*(2*Sheet!$D$32*Sheet!$F$25*B8/60*Sheet!$D$30/1000*Sheet!$D$31/1000)*(Sheet!$D$11/Sheet!$D$33))-1.4,0)</f>
        <v>18.080000000000009</v>
      </c>
      <c r="D8" s="131">
        <f>(Sheet!$D$41^4*Sheet!$D$32^2*Sheet!$F$25^2*B8^2*Sheet!$D$13*0.001*Sheet!$D$11*2*Sheet!$F$35*Sheet!$D$43*PI())/(144*10^8*Sheet!$D$65)</f>
        <v>0.18547371990858141</v>
      </c>
      <c r="E8" s="131">
        <f>A8^3*Sheet!$D$75/2*Sheet!$D$7^2/4*PI()*Sheet!$D$76/100</f>
        <v>0.38950722356267697</v>
      </c>
      <c r="F8" s="131">
        <f t="shared" si="0"/>
        <v>0.20403350365409556</v>
      </c>
      <c r="G8" s="131">
        <f>IF(F8=0,0,SQRT((C8^2+2*F8*Sheet!$F$67)/(2*Sheet!$F$67^2)-SQRT((C8^2+2*F8*Sheet!$F$67)^2/(4*Sheet!$F$67^4)-(F8^2/Sheet!$F$67^2))))</f>
        <v>1.1273720588408235E-2</v>
      </c>
      <c r="H8" s="131">
        <f>G8^2*Sheet!$F$67</f>
        <v>2.0463541444922184E-4</v>
      </c>
      <c r="I8" s="131">
        <f>G8*Sheet!$D$77</f>
        <v>1.3528464706089881E-2</v>
      </c>
      <c r="J8" s="131">
        <f t="shared" si="1"/>
        <v>0.19030040353355646</v>
      </c>
      <c r="K8" s="131">
        <f t="shared" si="2"/>
        <v>1.5458529450486018E-3</v>
      </c>
      <c r="L8" s="131">
        <f t="shared" si="3"/>
        <v>2.5769856077974616E-3</v>
      </c>
    </row>
    <row r="9" spans="1:13" x14ac:dyDescent="0.2">
      <c r="A9" s="131">
        <v>0.5</v>
      </c>
      <c r="B9" s="131">
        <f>Sheet!$D$5*A9*60/(Sheet!$D$7*PI())</f>
        <v>11.140846016432674</v>
      </c>
      <c r="C9" s="131">
        <f>MAX((Sheet!$F$35*(SQRT(Sheet!$D$33)*SQRT(2))*(2*Sheet!$D$32*Sheet!$F$25*B9/60*Sheet!$D$30/1000*Sheet!$D$31/1000)*(Sheet!$D$11/Sheet!$D$33))-1.4,0)</f>
        <v>22.950000000000003</v>
      </c>
      <c r="D9" s="131">
        <f>(Sheet!$D$41^4*Sheet!$D$32^2*Sheet!$F$25^2*B9^2*Sheet!$D$13*0.001*Sheet!$D$11*2*Sheet!$F$35*Sheet!$D$43*PI())/(144*10^8*Sheet!$D$65)</f>
        <v>0.28980268735715831</v>
      </c>
      <c r="E9" s="131">
        <f>A9^3*Sheet!$D$75/2*Sheet!$D$7^2/4*PI()*Sheet!$D$76/100</f>
        <v>0.76075629602085326</v>
      </c>
      <c r="F9" s="131">
        <f t="shared" si="0"/>
        <v>0.47095360866369496</v>
      </c>
      <c r="G9" s="131">
        <f>IF(F9=0,0,SQRT((C9^2+2*F9*Sheet!$F$67)/(2*Sheet!$F$67^2)-SQRT((C9^2+2*F9*Sheet!$F$67)^2/(4*Sheet!$F$67^4)-(F9^2/Sheet!$F$67^2))))</f>
        <v>2.0491396176390179E-2</v>
      </c>
      <c r="H9" s="131">
        <f>G9^2*Sheet!$F$67</f>
        <v>6.7606641420275111E-4</v>
      </c>
      <c r="I9" s="131">
        <f>G9*Sheet!$D$77</f>
        <v>2.4589675411668215E-2</v>
      </c>
      <c r="J9" s="131">
        <f t="shared" si="1"/>
        <v>0.44568786683782396</v>
      </c>
      <c r="K9" s="131">
        <f t="shared" si="2"/>
        <v>2.1088589019401991E-3</v>
      </c>
      <c r="L9" s="131">
        <f t="shared" si="3"/>
        <v>8.2334611510969033E-3</v>
      </c>
    </row>
    <row r="10" spans="1:13" x14ac:dyDescent="0.2">
      <c r="A10" s="131">
        <v>0.6</v>
      </c>
      <c r="B10" s="131">
        <f>Sheet!$D$5*A10*60/(Sheet!$D$7*PI())</f>
        <v>13.369015219719209</v>
      </c>
      <c r="C10" s="131">
        <f>MAX((Sheet!$F$35*(SQRT(Sheet!$D$33)*SQRT(2))*(2*Sheet!$D$32*Sheet!$F$25*B10/60*Sheet!$D$30/1000*Sheet!$D$31/1000)*(Sheet!$D$11/Sheet!$D$33))-1.4,0)</f>
        <v>27.820000000000004</v>
      </c>
      <c r="D10" s="131">
        <f>(Sheet!$D$41^4*Sheet!$D$32^2*Sheet!$F$25^2*B10^2*Sheet!$D$13*0.001*Sheet!$D$11*2*Sheet!$F$35*Sheet!$D$43*PI())/(144*10^8*Sheet!$D$65)</f>
        <v>0.41731586979430813</v>
      </c>
      <c r="E10" s="131">
        <f>A10^3*Sheet!$D$75/2*Sheet!$D$7^2/4*PI()*Sheet!$D$76/100</f>
        <v>1.3145868795240343</v>
      </c>
      <c r="F10" s="131">
        <f t="shared" si="0"/>
        <v>0.89727100972972618</v>
      </c>
      <c r="G10" s="131">
        <f>IF(F10=0,0,SQRT((C10^2+2*F10*Sheet!$F$67)/(2*Sheet!$F$67^2)-SQRT((C10^2+2*F10*Sheet!$F$67)^2/(4*Sheet!$F$67^4)-(F10^2/Sheet!$F$67^2))))</f>
        <v>3.2192752350777357E-2</v>
      </c>
      <c r="H10" s="131">
        <f>G10^2*Sheet!$F$67</f>
        <v>1.6686393424263936E-3</v>
      </c>
      <c r="I10" s="131">
        <f>G10*Sheet!$D$77</f>
        <v>3.8631302820932828E-2</v>
      </c>
      <c r="J10" s="131">
        <f t="shared" si="1"/>
        <v>0.85697106756636687</v>
      </c>
      <c r="K10" s="131">
        <f t="shared" si="2"/>
        <v>2.71549636448668E-3</v>
      </c>
      <c r="L10" s="131">
        <f t="shared" si="3"/>
        <v>2.0385411929593429E-2</v>
      </c>
    </row>
    <row r="11" spans="1:13" x14ac:dyDescent="0.2">
      <c r="A11" s="131">
        <v>0.7</v>
      </c>
      <c r="B11" s="131">
        <f>Sheet!$D$5*A11*60/(Sheet!$D$7*PI())</f>
        <v>15.597184423005741</v>
      </c>
      <c r="C11" s="131">
        <f>MAX((Sheet!$F$35*(SQRT(Sheet!$D$33)*SQRT(2))*(2*Sheet!$D$32*Sheet!$F$25*B11/60*Sheet!$D$30/1000*Sheet!$D$31/1000)*(Sheet!$D$11/Sheet!$D$33))-1.4,0)</f>
        <v>32.69</v>
      </c>
      <c r="D11" s="131">
        <f>(Sheet!$D$41^4*Sheet!$D$32^2*Sheet!$F$25^2*B11^2*Sheet!$D$13*0.001*Sheet!$D$11*2*Sheet!$F$35*Sheet!$D$43*PI())/(144*10^8*Sheet!$D$65)</f>
        <v>0.56801326722003032</v>
      </c>
      <c r="E11" s="131">
        <f>A11^3*Sheet!$D$75/2*Sheet!$D$7^2/4*PI()*Sheet!$D$76/100</f>
        <v>2.0875152762812208</v>
      </c>
      <c r="F11" s="131">
        <f t="shared" si="0"/>
        <v>1.5195020090611906</v>
      </c>
      <c r="G11" s="131">
        <f>IF(F11=0,0,SQRT((C11^2+2*F11*Sheet!$F$67)/(2*Sheet!$F$67^2)-SQRT((C11^2+2*F11*Sheet!$F$67)^2/(4*Sheet!$F$67^4)-(F11^2/Sheet!$F$67^2))))</f>
        <v>4.6376235260184653E-2</v>
      </c>
      <c r="H11" s="131">
        <f>G11^2*Sheet!$F$67</f>
        <v>3.462878408696443E-3</v>
      </c>
      <c r="I11" s="131">
        <f>G11*Sheet!$D$77</f>
        <v>5.5651482312221584E-2</v>
      </c>
      <c r="J11" s="131">
        <f t="shared" si="1"/>
        <v>1.4603876483402725</v>
      </c>
      <c r="K11" s="131">
        <f t="shared" si="2"/>
        <v>3.3592767216386933E-3</v>
      </c>
      <c r="L11" s="131">
        <f t="shared" si="3"/>
        <v>4.2975212989150205E-2</v>
      </c>
    </row>
    <row r="12" spans="1:13" x14ac:dyDescent="0.2">
      <c r="A12" s="131">
        <v>0.79999999999999993</v>
      </c>
      <c r="B12" s="131">
        <f>Sheet!$D$5*A12*60/(Sheet!$D$7*PI())</f>
        <v>17.82535362629228</v>
      </c>
      <c r="C12" s="131">
        <f>MAX((Sheet!$F$35*(SQRT(Sheet!$D$33)*SQRT(2))*(2*Sheet!$D$32*Sheet!$F$25*B12/60*Sheet!$D$30/1000*Sheet!$D$31/1000)*(Sheet!$D$11/Sheet!$D$33))-1.4,0)</f>
        <v>37.560000000000016</v>
      </c>
      <c r="D12" s="131">
        <f>(Sheet!$D$41^4*Sheet!$D$32^2*Sheet!$F$25^2*B12^2*Sheet!$D$13*0.001*Sheet!$D$11*2*Sheet!$F$35*Sheet!$D$43*PI())/(144*10^8*Sheet!$D$65)</f>
        <v>0.74189487963432565</v>
      </c>
      <c r="E12" s="131">
        <f>A12^3*Sheet!$D$75/2*Sheet!$D$7^2/4*PI()*Sheet!$D$76/100</f>
        <v>3.1160577885014145</v>
      </c>
      <c r="F12" s="131">
        <f t="shared" si="0"/>
        <v>2.3741629088670888</v>
      </c>
      <c r="G12" s="131">
        <f>IF(F12=0,0,SQRT((C12^2+2*F12*Sheet!$F$67)/(2*Sheet!$F$67^2)-SQRT((C12^2+2*F12*Sheet!$F$67)^2/(4*Sheet!$F$67^4)-(F12^2/Sheet!$F$67^2))))</f>
        <v>6.3039523384323615E-2</v>
      </c>
      <c r="H12" s="131">
        <f>G12^2*Sheet!$F$67</f>
        <v>6.3984105593263433E-3</v>
      </c>
      <c r="I12" s="131">
        <f>G12*Sheet!$D$77</f>
        <v>7.5647428061188335E-2</v>
      </c>
      <c r="J12" s="131">
        <f t="shared" si="1"/>
        <v>2.2921170702465741</v>
      </c>
      <c r="K12" s="131">
        <f t="shared" si="2"/>
        <v>4.0346976140827762E-3</v>
      </c>
      <c r="L12" s="131">
        <f t="shared" si="3"/>
        <v>8.1012473644814967E-2</v>
      </c>
    </row>
    <row r="13" spans="1:13" x14ac:dyDescent="0.2">
      <c r="A13" s="131">
        <v>0.89999999999999991</v>
      </c>
      <c r="B13" s="131">
        <f>Sheet!$D$5*A13*60/(Sheet!$D$7*PI())</f>
        <v>20.05352282957881</v>
      </c>
      <c r="C13" s="131">
        <f>MAX((Sheet!$F$35*(SQRT(Sheet!$D$33)*SQRT(2))*(2*Sheet!$D$32*Sheet!$F$25*B13/60*Sheet!$D$30/1000*Sheet!$D$31/1000)*(Sheet!$D$11/Sheet!$D$33))-1.4,0)</f>
        <v>42.43</v>
      </c>
      <c r="D13" s="131">
        <f>(Sheet!$D$41^4*Sheet!$D$32^2*Sheet!$F$25^2*B13^2*Sheet!$D$13*0.001*Sheet!$D$11*2*Sheet!$F$35*Sheet!$D$43*PI())/(144*10^8*Sheet!$D$65)</f>
        <v>0.93896070703719292</v>
      </c>
      <c r="E13" s="131">
        <f>A13^3*Sheet!$D$75/2*Sheet!$D$7^2/4*PI()*Sheet!$D$76/100</f>
        <v>4.4367307183936155</v>
      </c>
      <c r="F13" s="131">
        <f t="shared" si="0"/>
        <v>3.4977700113564225</v>
      </c>
      <c r="G13" s="131">
        <f>IF(F13=0,0,SQRT((C13^2+2*F13*Sheet!$F$67)/(2*Sheet!$F$67^2)-SQRT((C13^2+2*F13*Sheet!$F$67)^2/(4*Sheet!$F$67^4)-(F13^2/Sheet!$F$67^2))))</f>
        <v>8.2179973804672471E-2</v>
      </c>
      <c r="H13" s="131">
        <f>G13^2*Sheet!$F$67</f>
        <v>1.0873722826421897E-2</v>
      </c>
      <c r="I13" s="131">
        <f>G13*Sheet!$D$77</f>
        <v>9.8615968565606962E-2</v>
      </c>
      <c r="J13" s="131">
        <f t="shared" si="1"/>
        <v>3.3882803199643936</v>
      </c>
      <c r="K13" s="131">
        <f t="shared" si="2"/>
        <v>4.7368567699760927E-3</v>
      </c>
      <c r="L13" s="131">
        <f t="shared" si="3"/>
        <v>0.14059623549247288</v>
      </c>
    </row>
    <row r="14" spans="1:13" x14ac:dyDescent="0.2">
      <c r="A14" s="131">
        <v>0.99999999999999989</v>
      </c>
      <c r="B14" s="131">
        <f>Sheet!$D$5*A14*60/(Sheet!$D$7*PI())</f>
        <v>22.281692032865344</v>
      </c>
      <c r="C14" s="131">
        <f>MAX((Sheet!$F$35*(SQRT(Sheet!$D$33)*SQRT(2))*(2*Sheet!$D$32*Sheet!$F$25*B14/60*Sheet!$D$30/1000*Sheet!$D$31/1000)*(Sheet!$D$11/Sheet!$D$33))-1.4,0)</f>
        <v>47.3</v>
      </c>
      <c r="D14" s="131">
        <f>(Sheet!$D$41^4*Sheet!$D$32^2*Sheet!$F$25^2*B14^2*Sheet!$D$13*0.001*Sheet!$D$11*2*Sheet!$F$35*Sheet!$D$43*PI())/(144*10^8*Sheet!$D$65)</f>
        <v>1.1592107494286332</v>
      </c>
      <c r="E14" s="131">
        <f>A14^3*Sheet!$D$75/2*Sheet!$D$7^2/4*PI()*Sheet!$D$76/100</f>
        <v>6.0860503681668243</v>
      </c>
      <c r="F14" s="131">
        <f t="shared" si="0"/>
        <v>4.9268396187381907</v>
      </c>
      <c r="G14" s="131">
        <f>IF(F14=0,0,SQRT((C14^2+2*F14*Sheet!$F$67)/(2*Sheet!$F$67^2)-SQRT((C14^2+2*F14*Sheet!$F$67)^2/(4*Sheet!$F$67^4)-(F14^2/Sheet!$F$67^2))))</f>
        <v>0.10379479273911824</v>
      </c>
      <c r="H14" s="131">
        <f>G14^2*Sheet!$F$67</f>
        <v>1.7345922177952201E-2</v>
      </c>
      <c r="I14" s="131">
        <f>G14*Sheet!$D$77</f>
        <v>0.12455375128694188</v>
      </c>
      <c r="J14" s="131">
        <f t="shared" si="1"/>
        <v>4.7849399452732966</v>
      </c>
      <c r="K14" s="131">
        <f t="shared" si="2"/>
        <v>5.4612329551791215E-3</v>
      </c>
      <c r="L14" s="131">
        <f t="shared" si="3"/>
        <v>0.22891344424687249</v>
      </c>
    </row>
    <row r="15" spans="1:13" x14ac:dyDescent="0.2">
      <c r="A15" s="131">
        <v>1.0999999999999999</v>
      </c>
      <c r="B15" s="131">
        <f>Sheet!$D$5*A15*60/(Sheet!$D$7*PI())</f>
        <v>24.509861236151881</v>
      </c>
      <c r="C15" s="131">
        <f>MAX((Sheet!$F$35*(SQRT(Sheet!$D$33)*SQRT(2))*(2*Sheet!$D$32*Sheet!$F$25*B15/60*Sheet!$D$30/1000*Sheet!$D$31/1000)*(Sheet!$D$11/Sheet!$D$33))-1.4,0)</f>
        <v>52.169999999999995</v>
      </c>
      <c r="D15" s="131">
        <f>(Sheet!$D$41^4*Sheet!$D$32^2*Sheet!$F$25^2*B15^2*Sheet!$D$13*0.001*Sheet!$D$11*2*Sheet!$F$35*Sheet!$D$43*PI())/(144*10^8*Sheet!$D$65)</f>
        <v>1.4026450068086462</v>
      </c>
      <c r="E15" s="131">
        <f>A15^3*Sheet!$D$75/2*Sheet!$D$7^2/4*PI()*Sheet!$D$76/100</f>
        <v>8.1005330400300437</v>
      </c>
      <c r="F15" s="131">
        <f t="shared" si="0"/>
        <v>6.6978880332213979</v>
      </c>
      <c r="G15" s="131">
        <f>IF(F15=0,0,SQRT((C15^2+2*F15*Sheet!$F$67)/(2*Sheet!$F$67^2)-SQRT((C15^2+2*F15*Sheet!$F$67)^2/(4*Sheet!$F$67^4)-(F15^2/Sheet!$F$67^2))))</f>
        <v>0.12788111052437695</v>
      </c>
      <c r="H15" s="131">
        <f>G15^2*Sheet!$F$67</f>
        <v>2.6330497179754192E-2</v>
      </c>
      <c r="I15" s="131">
        <f>G15*Sheet!$D$77</f>
        <v>0.15345733262925235</v>
      </c>
      <c r="J15" s="131">
        <f t="shared" si="1"/>
        <v>6.5181002034123914</v>
      </c>
      <c r="K15" s="131">
        <f t="shared" si="2"/>
        <v>6.2035547244652265E-3</v>
      </c>
      <c r="L15" s="131">
        <f t="shared" si="3"/>
        <v>0.35421402788801021</v>
      </c>
    </row>
    <row r="16" spans="1:13" x14ac:dyDescent="0.2">
      <c r="A16" s="131">
        <v>1.2</v>
      </c>
      <c r="B16" s="131">
        <f>Sheet!$D$5*A16*60/(Sheet!$D$7*PI())</f>
        <v>26.738030439438418</v>
      </c>
      <c r="C16" s="131">
        <f>MAX((Sheet!$F$35*(SQRT(Sheet!$D$33)*SQRT(2))*(2*Sheet!$D$32*Sheet!$F$25*B16/60*Sheet!$D$30/1000*Sheet!$D$31/1000)*(Sheet!$D$11/Sheet!$D$33))-1.4,0)</f>
        <v>57.040000000000006</v>
      </c>
      <c r="D16" s="131">
        <f>(Sheet!$D$41^4*Sheet!$D$32^2*Sheet!$F$25^2*B16^2*Sheet!$D$13*0.001*Sheet!$D$11*2*Sheet!$F$35*Sheet!$D$43*PI())/(144*10^8*Sheet!$D$65)</f>
        <v>1.6692634791772325</v>
      </c>
      <c r="E16" s="131">
        <f>A16^3*Sheet!$D$75/2*Sheet!$D$7^2/4*PI()*Sheet!$D$76/100</f>
        <v>10.516695036192274</v>
      </c>
      <c r="F16" s="131">
        <f t="shared" si="0"/>
        <v>8.8474315570150424</v>
      </c>
      <c r="G16" s="131">
        <f>IF(F16=0,0,SQRT((C16^2+2*F16*Sheet!$F$67)/(2*Sheet!$F$67^2)-SQRT((C16^2+2*F16*Sheet!$F$67)^2/(4*Sheet!$F$67^4)-(F16^2/Sheet!$F$67^2))))</f>
        <v>0.15443601815894911</v>
      </c>
      <c r="H16" s="131">
        <f>G16^2*Sheet!$F$67</f>
        <v>3.8401081246728752E-2</v>
      </c>
      <c r="I16" s="131">
        <f>G16*Sheet!$D$77</f>
        <v>0.18532322179073893</v>
      </c>
      <c r="J16" s="131">
        <f t="shared" si="1"/>
        <v>8.6237072539775745</v>
      </c>
      <c r="K16" s="131">
        <f t="shared" si="2"/>
        <v>6.959719488143017E-3</v>
      </c>
      <c r="L16" s="131">
        <f t="shared" si="3"/>
        <v>0.52576279089540068</v>
      </c>
    </row>
    <row r="17" spans="1:12" x14ac:dyDescent="0.2">
      <c r="A17" s="131">
        <v>1.3</v>
      </c>
      <c r="B17" s="131">
        <f>Sheet!$D$5*A17*60/(Sheet!$D$7*PI())</f>
        <v>28.966199642724952</v>
      </c>
      <c r="C17" s="131">
        <f>MAX((Sheet!$F$35*(SQRT(Sheet!$D$33)*SQRT(2))*(2*Sheet!$D$32*Sheet!$F$25*B17/60*Sheet!$D$30/1000*Sheet!$D$31/1000)*(Sheet!$D$11/Sheet!$D$33))-1.4,0)</f>
        <v>61.910000000000004</v>
      </c>
      <c r="D17" s="131">
        <f>(Sheet!$D$41^4*Sheet!$D$32^2*Sheet!$F$25^2*B17^2*Sheet!$D$13*0.001*Sheet!$D$11*2*Sheet!$F$35*Sheet!$D$43*PI())/(144*10^8*Sheet!$D$65)</f>
        <v>1.9590661665343905</v>
      </c>
      <c r="E17" s="131">
        <f>A17^3*Sheet!$D$75/2*Sheet!$D$7^2/4*PI()*Sheet!$D$76/100</f>
        <v>13.371052658862522</v>
      </c>
      <c r="F17" s="131">
        <f t="shared" si="0"/>
        <v>11.411986492328133</v>
      </c>
      <c r="G17" s="131">
        <f>IF(F17=0,0,SQRT((C17^2+2*F17*Sheet!$F$67)/(2*Sheet!$F$67^2)-SQRT((C17^2+2*F17*Sheet!$F$67)^2/(4*Sheet!$F$67^4)-(F17^2/Sheet!$F$67^2))))</f>
        <v>0.1834565865763341</v>
      </c>
      <c r="H17" s="131">
        <f>G17^2*Sheet!$F$67</f>
        <v>5.418921739527538E-2</v>
      </c>
      <c r="I17" s="131">
        <f>G17*Sheet!$D$77</f>
        <v>0.22014790389160091</v>
      </c>
      <c r="J17" s="131">
        <f t="shared" si="1"/>
        <v>11.137649371041256</v>
      </c>
      <c r="K17" s="131">
        <f t="shared" si="2"/>
        <v>7.7257434250003103E-3</v>
      </c>
      <c r="L17" s="131">
        <f t="shared" si="3"/>
        <v>0.75376840344894003</v>
      </c>
    </row>
    <row r="18" spans="1:12" x14ac:dyDescent="0.2">
      <c r="A18" s="131">
        <v>1.4000000000000001</v>
      </c>
      <c r="B18" s="131">
        <f>Sheet!$D$5*A18*60/(Sheet!$D$7*PI())</f>
        <v>31.194368846011486</v>
      </c>
      <c r="C18" s="131">
        <f>MAX((Sheet!$F$35*(SQRT(Sheet!$D$33)*SQRT(2))*(2*Sheet!$D$32*Sheet!$F$25*B18/60*Sheet!$D$30/1000*Sheet!$D$31/1000)*(Sheet!$D$11/Sheet!$D$33))-1.4,0)</f>
        <v>66.78</v>
      </c>
      <c r="D18" s="131">
        <f>(Sheet!$D$41^4*Sheet!$D$32^2*Sheet!$F$25^2*B18^2*Sheet!$D$13*0.001*Sheet!$D$11*2*Sheet!$F$35*Sheet!$D$43*PI())/(144*10^8*Sheet!$D$65)</f>
        <v>2.2720530688801213</v>
      </c>
      <c r="E18" s="131">
        <f>A18^3*Sheet!$D$75/2*Sheet!$D$7^2/4*PI()*Sheet!$D$76/100</f>
        <v>16.700122210249777</v>
      </c>
      <c r="F18" s="131">
        <f t="shared" si="0"/>
        <v>14.428069141369656</v>
      </c>
      <c r="G18" s="131">
        <f>IF(F18=0,0,SQRT((C18^2+2*F18*Sheet!$F$67)/(2*Sheet!$F$67^2)-SQRT((C18^2+2*F18*Sheet!$F$67)^2/(4*Sheet!$F$67^4)-(F18^2/Sheet!$F$67^2))))</f>
        <v>0.21493987746224505</v>
      </c>
      <c r="H18" s="131">
        <f>G18^2*Sheet!$F$67</f>
        <v>7.4384124452211195E-2</v>
      </c>
      <c r="I18" s="131">
        <f>G18*Sheet!$D$77</f>
        <v>0.25792785295469406</v>
      </c>
      <c r="J18" s="131">
        <f t="shared" si="1"/>
        <v>14.095757163962752</v>
      </c>
      <c r="K18" s="131">
        <f t="shared" si="2"/>
        <v>8.4977313560642108E-3</v>
      </c>
      <c r="L18" s="131">
        <f t="shared" si="3"/>
        <v>1.0492899489235357</v>
      </c>
    </row>
    <row r="19" spans="1:12" x14ac:dyDescent="0.2">
      <c r="A19" s="131">
        <v>1.5000000000000002</v>
      </c>
      <c r="B19" s="131">
        <f>Sheet!$D$5*A19*60/(Sheet!$D$7*PI())</f>
        <v>33.422538049298026</v>
      </c>
      <c r="C19" s="131">
        <f>MAX((Sheet!$F$35*(SQRT(Sheet!$D$33)*SQRT(2))*(2*Sheet!$D$32*Sheet!$F$25*B19/60*Sheet!$D$30/1000*Sheet!$D$31/1000)*(Sheet!$D$11/Sheet!$D$33))-1.4,0)</f>
        <v>71.650000000000006</v>
      </c>
      <c r="D19" s="131">
        <f>(Sheet!$D$41^4*Sheet!$D$32^2*Sheet!$F$25^2*B19^2*Sheet!$D$13*0.001*Sheet!$D$11*2*Sheet!$F$35*Sheet!$D$43*PI())/(144*10^8*Sheet!$D$65)</f>
        <v>2.6082241862144255</v>
      </c>
      <c r="E19" s="131">
        <f>A19^3*Sheet!$D$75/2*Sheet!$D$7^2/4*PI()*Sheet!$D$76/100</f>
        <v>20.540419992563052</v>
      </c>
      <c r="F19" s="131">
        <f t="shared" si="0"/>
        <v>17.932195806348627</v>
      </c>
      <c r="G19" s="131">
        <f>IF(F19=0,0,SQRT((C19^2+2*F19*Sheet!$F$67)/(2*Sheet!$F$67^2)-SQRT((C19^2+2*F19*Sheet!$F$67)^2/(4*Sheet!$F$67^4)-(F19^2/Sheet!$F$67^2))))</f>
        <v>0.24888294963940585</v>
      </c>
      <c r="H19" s="131">
        <f>G19^2*Sheet!$F$67</f>
        <v>9.9732464693907397E-2</v>
      </c>
      <c r="I19" s="131">
        <f>G19*Sheet!$D$77</f>
        <v>0.29865953956728702</v>
      </c>
      <c r="J19" s="131">
        <f t="shared" si="1"/>
        <v>17.533803802087434</v>
      </c>
      <c r="K19" s="131">
        <f t="shared" si="2"/>
        <v>9.2718601130039619E-3</v>
      </c>
      <c r="L19" s="131">
        <f t="shared" si="3"/>
        <v>1.4241217506518704</v>
      </c>
    </row>
    <row r="20" spans="1:12" x14ac:dyDescent="0.2">
      <c r="A20" s="131">
        <v>1.6000000000000003</v>
      </c>
      <c r="B20" s="131">
        <f>Sheet!$D$5*A20*60/(Sheet!$D$7*PI())</f>
        <v>35.650707252584567</v>
      </c>
      <c r="C20" s="131">
        <f>MAX((Sheet!$F$35*(SQRT(Sheet!$D$33)*SQRT(2))*(2*Sheet!$D$32*Sheet!$F$25*B20/60*Sheet!$D$30/1000*Sheet!$D$31/1000)*(Sheet!$D$11/Sheet!$D$33))-1.4,0)</f>
        <v>76.520000000000024</v>
      </c>
      <c r="D20" s="131">
        <f>(Sheet!$D$41^4*Sheet!$D$32^2*Sheet!$F$25^2*B20^2*Sheet!$D$13*0.001*Sheet!$D$11*2*Sheet!$F$35*Sheet!$D$43*PI())/(144*10^8*Sheet!$D$65)</f>
        <v>2.9675795185373035</v>
      </c>
      <c r="E20" s="131">
        <f>A20^3*Sheet!$D$75/2*Sheet!$D$7^2/4*PI()*Sheet!$D$76/100</f>
        <v>24.928462308011333</v>
      </c>
      <c r="F20" s="131">
        <f t="shared" si="0"/>
        <v>21.960882789474031</v>
      </c>
      <c r="G20" s="131">
        <f>IF(F20=0,0,SQRT((C20^2+2*F20*Sheet!$F$67)/(2*Sheet!$F$67^2)-SQRT((C20^2+2*F20*Sheet!$F$67)^2/(4*Sheet!$F$67^4)-(F20^2/Sheet!$F$67^2))))</f>
        <v>0.28528286299765965</v>
      </c>
      <c r="H20" s="131">
        <f>G20^2*Sheet!$F$67</f>
        <v>0.13103811289953515</v>
      </c>
      <c r="I20" s="131">
        <f>G20*Sheet!$D$77</f>
        <v>0.34233943559719154</v>
      </c>
      <c r="J20" s="131">
        <f t="shared" si="1"/>
        <v>21.487505240977303</v>
      </c>
      <c r="K20" s="131">
        <f t="shared" si="2"/>
        <v>1.0044371354772595E-2</v>
      </c>
      <c r="L20" s="131">
        <f t="shared" si="3"/>
        <v>1.8906575034412663</v>
      </c>
    </row>
    <row r="21" spans="1:12" x14ac:dyDescent="0.2">
      <c r="A21" s="131">
        <v>1.7000000000000004</v>
      </c>
      <c r="B21" s="131">
        <f>Sheet!$D$5*A21*60/(Sheet!$D$7*PI())</f>
        <v>37.878876455871101</v>
      </c>
      <c r="C21" s="131">
        <f>MAX((Sheet!$F$35*(SQRT(Sheet!$D$33)*SQRT(2))*(2*Sheet!$D$32*Sheet!$F$25*B21/60*Sheet!$D$30/1000*Sheet!$D$31/1000)*(Sheet!$D$11/Sheet!$D$33))-1.4,0)</f>
        <v>81.390000000000015</v>
      </c>
      <c r="D21" s="131">
        <f>(Sheet!$D$41^4*Sheet!$D$32^2*Sheet!$F$25^2*B21^2*Sheet!$D$13*0.001*Sheet!$D$11*2*Sheet!$F$35*Sheet!$D$43*PI())/(144*10^8*Sheet!$D$65)</f>
        <v>3.3501190658487534</v>
      </c>
      <c r="E21" s="131">
        <f>A21^3*Sheet!$D$75/2*Sheet!$D$7^2/4*PI()*Sheet!$D$76/100</f>
        <v>29.900765458803644</v>
      </c>
      <c r="F21" s="131">
        <f t="shared" si="0"/>
        <v>26.550646392954889</v>
      </c>
      <c r="G21" s="131">
        <f>IF(F21=0,0,SQRT((C21^2+2*F21*Sheet!$F$67)/(2*Sheet!$F$67^2)-SQRT((C21^2+2*F21*Sheet!$F$67)^2/(4*Sheet!$F$67^4)-(F21^2/Sheet!$F$67^2))))</f>
        <v>0.3241366809944935</v>
      </c>
      <c r="H21" s="131">
        <f>G21^2*Sheet!$F$67</f>
        <v>0.16916192680112344</v>
      </c>
      <c r="I21" s="131">
        <f>G21*Sheet!$D$77</f>
        <v>0.38896401719339219</v>
      </c>
      <c r="J21" s="131">
        <f t="shared" si="1"/>
        <v>25.992520448960374</v>
      </c>
      <c r="K21" s="131">
        <f t="shared" si="2"/>
        <v>1.081157117886509E-2</v>
      </c>
      <c r="L21" s="131">
        <f t="shared" si="3"/>
        <v>2.4617350681798831</v>
      </c>
    </row>
    <row r="22" spans="1:12" x14ac:dyDescent="0.2">
      <c r="A22" s="131">
        <v>1.8000000000000005</v>
      </c>
      <c r="B22" s="131">
        <f>Sheet!$D$5*A22*60/(Sheet!$D$7*PI())</f>
        <v>40.107045659157642</v>
      </c>
      <c r="C22" s="131">
        <f>MAX((Sheet!$F$35*(SQRT(Sheet!$D$33)*SQRT(2))*(2*Sheet!$D$32*Sheet!$F$25*B22/60*Sheet!$D$30/1000*Sheet!$D$31/1000)*(Sheet!$D$11/Sheet!$D$33))-1.4,0)</f>
        <v>86.260000000000019</v>
      </c>
      <c r="D22" s="131">
        <f>(Sheet!$D$41^4*Sheet!$D$32^2*Sheet!$F$25^2*B22^2*Sheet!$D$13*0.001*Sheet!$D$11*2*Sheet!$F$35*Sheet!$D$43*PI())/(144*10^8*Sheet!$D$65)</f>
        <v>3.7558428281487757</v>
      </c>
      <c r="E22" s="131">
        <f>A22^3*Sheet!$D$75/2*Sheet!$D$7^2/4*PI()*Sheet!$D$76/100</f>
        <v>35.49384574714896</v>
      </c>
      <c r="F22" s="131">
        <f t="shared" si="0"/>
        <v>31.738002919000184</v>
      </c>
      <c r="G22" s="131">
        <f>IF(F22=0,0,SQRT((C22^2+2*F22*Sheet!$F$67)/(2*Sheet!$F$67^2)-SQRT((C22^2+2*F22*Sheet!$F$67)^2/(4*Sheet!$F$67^4)-(F22^2/Sheet!$F$67^2))))</f>
        <v>0.36544147229384627</v>
      </c>
      <c r="H22" s="131">
        <f>G22^2*Sheet!$F$67</f>
        <v>0.21502151891999502</v>
      </c>
      <c r="I22" s="131">
        <f>G22*Sheet!$D$77</f>
        <v>0.43852976675261551</v>
      </c>
      <c r="J22" s="131">
        <f t="shared" si="1"/>
        <v>31.084451633327575</v>
      </c>
      <c r="K22" s="131">
        <f t="shared" si="2"/>
        <v>1.1569834709033952E-2</v>
      </c>
      <c r="L22" s="131">
        <f t="shared" si="3"/>
        <v>3.1504636345865902</v>
      </c>
    </row>
    <row r="23" spans="1:12" x14ac:dyDescent="0.2">
      <c r="A23" s="131">
        <v>1.9000000000000006</v>
      </c>
      <c r="B23" s="131">
        <f>Sheet!$D$5*A23*60/(Sheet!$D$7*PI())</f>
        <v>42.335214862444175</v>
      </c>
      <c r="C23" s="131">
        <f>MAX((Sheet!$F$35*(SQRT(Sheet!$D$33)*SQRT(2))*(2*Sheet!$D$32*Sheet!$F$25*B23/60*Sheet!$D$30/1000*Sheet!$D$31/1000)*(Sheet!$D$11/Sheet!$D$33))-1.4,0)</f>
        <v>91.13000000000001</v>
      </c>
      <c r="D23" s="131">
        <f>(Sheet!$D$41^4*Sheet!$D$32^2*Sheet!$F$25^2*B23^2*Sheet!$D$13*0.001*Sheet!$D$11*2*Sheet!$F$35*Sheet!$D$43*PI())/(144*10^8*Sheet!$D$65)</f>
        <v>4.1847508054373685</v>
      </c>
      <c r="E23" s="131">
        <f>A23^3*Sheet!$D$75/2*Sheet!$D$7^2/4*PI()*Sheet!$D$76/100</f>
        <v>41.744219475256294</v>
      </c>
      <c r="F23" s="131">
        <f t="shared" si="0"/>
        <v>37.559468669818926</v>
      </c>
      <c r="G23" s="131">
        <f>IF(F23=0,0,SQRT((C23^2+2*F23*Sheet!$F$67)/(2*Sheet!$F$67^2)-SQRT((C23^2+2*F23*Sheet!$F$67)^2/(4*Sheet!$F$67^4)-(F23^2/Sheet!$F$67^2))))</f>
        <v>0.40919431186289507</v>
      </c>
      <c r="H23" s="131">
        <f>G23^2*Sheet!$F$67</f>
        <v>0.26959102977457117</v>
      </c>
      <c r="I23" s="131">
        <f>G23*Sheet!$D$77</f>
        <v>0.49103317423547405</v>
      </c>
      <c r="J23" s="131">
        <f t="shared" si="1"/>
        <v>36.798844465808877</v>
      </c>
      <c r="K23" s="131">
        <f t="shared" si="2"/>
        <v>1.2315614360217528E-2</v>
      </c>
      <c r="L23" s="131">
        <f t="shared" si="3"/>
        <v>3.9700353055205371</v>
      </c>
    </row>
    <row r="24" spans="1:12" x14ac:dyDescent="0.2">
      <c r="A24" s="131">
        <v>2.0000000000000004</v>
      </c>
      <c r="B24" s="131">
        <f>Sheet!$D$5*A24*60/(Sheet!$D$7*PI())</f>
        <v>44.563384065730709</v>
      </c>
      <c r="C24" s="131">
        <f>MAX((Sheet!$F$35*(SQRT(Sheet!$D$33)*SQRT(2))*(2*Sheet!$D$32*Sheet!$F$25*B24/60*Sheet!$D$30/1000*Sheet!$D$31/1000)*(Sheet!$D$11/Sheet!$D$33))-1.4,0)</f>
        <v>96.000000000000014</v>
      </c>
      <c r="D24" s="131">
        <f>(Sheet!$D$41^4*Sheet!$D$32^2*Sheet!$F$25^2*B24^2*Sheet!$D$13*0.001*Sheet!$D$11*2*Sheet!$F$35*Sheet!$D$43*PI())/(144*10^8*Sheet!$D$65)</f>
        <v>4.6368429977145365</v>
      </c>
      <c r="E24" s="131">
        <f>A24^3*Sheet!$D$75/2*Sheet!$D$7^2/4*PI()*Sheet!$D$76/100</f>
        <v>48.688402945334644</v>
      </c>
      <c r="F24" s="131">
        <f t="shared" si="0"/>
        <v>44.051559947620106</v>
      </c>
      <c r="G24" s="131">
        <f>IF(F24=0,0,SQRT((C24^2+2*F24*Sheet!$F$67)/(2*Sheet!$F$67^2)-SQRT((C24^2+2*F24*Sheet!$F$67)^2/(4*Sheet!$F$67^4)-(F24^2/Sheet!$F$67^2))))</f>
        <v>0.45539228172050478</v>
      </c>
      <c r="H24" s="131">
        <f>G24^2*Sheet!$F$67</f>
        <v>0.33390090244892862</v>
      </c>
      <c r="I24" s="131">
        <f>G24*Sheet!$D$77</f>
        <v>0.54647073806460567</v>
      </c>
      <c r="J24" s="131">
        <f t="shared" si="1"/>
        <v>43.171188307106569</v>
      </c>
      <c r="K24" s="131">
        <f t="shared" si="2"/>
        <v>1.3045450813610157E-2</v>
      </c>
      <c r="L24" s="131">
        <f t="shared" si="3"/>
        <v>4.9335234953590348</v>
      </c>
    </row>
    <row r="25" spans="1:12" x14ac:dyDescent="0.2">
      <c r="A25" s="131">
        <v>2.1000000000000005</v>
      </c>
      <c r="B25" s="131">
        <f>Sheet!$D$5*A25*60/(Sheet!$D$7*PI())</f>
        <v>46.791553269017243</v>
      </c>
      <c r="C25" s="131">
        <f>MAX((Sheet!$F$35*(SQRT(Sheet!$D$33)*SQRT(2))*(2*Sheet!$D$32*Sheet!$F$25*B25/60*Sheet!$D$30/1000*Sheet!$D$31/1000)*(Sheet!$D$11/Sheet!$D$33))-1.4,0)</f>
        <v>100.87000000000005</v>
      </c>
      <c r="D25" s="131">
        <f>(Sheet!$D$41^4*Sheet!$D$32^2*Sheet!$F$25^2*B25^2*Sheet!$D$13*0.001*Sheet!$D$11*2*Sheet!$F$35*Sheet!$D$43*PI())/(144*10^8*Sheet!$D$65)</f>
        <v>5.1121194049802758</v>
      </c>
      <c r="E25" s="131">
        <f>A25^3*Sheet!$D$75/2*Sheet!$D$7^2/4*PI()*Sheet!$D$76/100</f>
        <v>56.362912459593019</v>
      </c>
      <c r="F25" s="131">
        <f t="shared" si="0"/>
        <v>51.250793054612743</v>
      </c>
      <c r="G25" s="131">
        <f>IF(F25=0,0,SQRT((C25^2+2*F25*Sheet!$F$67)/(2*Sheet!$F$67^2)-SQRT((C25^2+2*F25*Sheet!$F$67)^2/(4*Sheet!$F$67^4)-(F25^2/Sheet!$F$67^2))))</f>
        <v>0.50403247145928509</v>
      </c>
      <c r="H25" s="131">
        <f>G25^2*Sheet!$F$67</f>
        <v>0.40903765851753165</v>
      </c>
      <c r="I25" s="131">
        <f>G25*Sheet!$D$77</f>
        <v>0.60483896575114204</v>
      </c>
      <c r="J25" s="131">
        <f t="shared" si="1"/>
        <v>50.236916430344067</v>
      </c>
      <c r="K25" s="131">
        <f t="shared" si="2"/>
        <v>1.3755985953314707E-2</v>
      </c>
      <c r="L25" s="131">
        <f t="shared" si="3"/>
        <v>6.0536708547620428</v>
      </c>
    </row>
    <row r="26" spans="1:12" x14ac:dyDescent="0.2">
      <c r="A26" s="131">
        <v>2.2000000000000006</v>
      </c>
      <c r="B26" s="131">
        <f>Sheet!$D$5*A26*60/(Sheet!$D$7*PI())</f>
        <v>49.019722472303776</v>
      </c>
      <c r="C26" s="131">
        <f>MAX((Sheet!$F$35*(SQRT(Sheet!$D$33)*SQRT(2))*(2*Sheet!$D$32*Sheet!$F$25*B26/60*Sheet!$D$30/1000*Sheet!$D$31/1000)*(Sheet!$D$11/Sheet!$D$33))-1.4,0)</f>
        <v>105.74000000000004</v>
      </c>
      <c r="D26" s="131">
        <f>(Sheet!$D$41^4*Sheet!$D$32^2*Sheet!$F$25^2*B26^2*Sheet!$D$13*0.001*Sheet!$D$11*2*Sheet!$F$35*Sheet!$D$43*PI())/(144*10^8*Sheet!$D$65)</f>
        <v>5.6105800272345876</v>
      </c>
      <c r="E26" s="131">
        <f>A26^3*Sheet!$D$75/2*Sheet!$D$7^2/4*PI()*Sheet!$D$76/100</f>
        <v>64.804264320240421</v>
      </c>
      <c r="F26" s="131">
        <f t="shared" si="0"/>
        <v>59.19368429300583</v>
      </c>
      <c r="G26" s="131">
        <f>IF(F26=0,0,SQRT((C26^2+2*F26*Sheet!$F$67)/(2*Sheet!$F$67^2)-SQRT((C26^2+2*F26*Sheet!$F$67)^2/(4*Sheet!$F$67^4)-(F26^2/Sheet!$F$67^2))))</f>
        <v>0.55511197860534767</v>
      </c>
      <c r="H26" s="131">
        <f>G26^2*Sheet!$F$67</f>
        <v>0.496143675301431</v>
      </c>
      <c r="I26" s="131">
        <f>G26*Sheet!$D$77</f>
        <v>0.6661343743264172</v>
      </c>
      <c r="J26" s="131">
        <f t="shared" si="1"/>
        <v>58.03140624337798</v>
      </c>
      <c r="K26" s="131">
        <f t="shared" si="2"/>
        <v>1.4443977163581086E-2</v>
      </c>
      <c r="L26" s="131">
        <f t="shared" si="3"/>
        <v>7.3426697253766724</v>
      </c>
    </row>
    <row r="27" spans="1:12" x14ac:dyDescent="0.2">
      <c r="A27" s="131">
        <v>2.3000000000000007</v>
      </c>
      <c r="B27" s="131">
        <f>Sheet!$D$5*A27*60/(Sheet!$D$7*PI())</f>
        <v>51.247891675590317</v>
      </c>
      <c r="C27" s="131">
        <f>MAX((Sheet!$F$35*(SQRT(Sheet!$D$33)*SQRT(2))*(2*Sheet!$D$32*Sheet!$F$25*B27/60*Sheet!$D$30/1000*Sheet!$D$31/1000)*(Sheet!$D$11/Sheet!$D$33))-1.4,0)</f>
        <v>110.61000000000007</v>
      </c>
      <c r="D27" s="131">
        <f>(Sheet!$D$41^4*Sheet!$D$32^2*Sheet!$F$25^2*B27^2*Sheet!$D$13*0.001*Sheet!$D$11*2*Sheet!$F$35*Sheet!$D$43*PI())/(144*10^8*Sheet!$D$65)</f>
        <v>6.1322248644774735</v>
      </c>
      <c r="E27" s="131">
        <f>A27^3*Sheet!$D$75/2*Sheet!$D$7^2/4*PI()*Sheet!$D$76/100</f>
        <v>74.048974829485857</v>
      </c>
      <c r="F27" s="131">
        <f t="shared" si="0"/>
        <v>67.916749965008378</v>
      </c>
      <c r="G27" s="131">
        <f>IF(F27=0,0,SQRT((C27^2+2*F27*Sheet!$F$67)/(2*Sheet!$F$67^2)-SQRT((C27^2+2*F27*Sheet!$F$67)^2/(4*Sheet!$F$67^4)-(F27^2/Sheet!$F$67^2))))</f>
        <v>0.60862790887425933</v>
      </c>
      <c r="H27" s="131">
        <f>G27^2*Sheet!$F$67</f>
        <v>0.59641696445848791</v>
      </c>
      <c r="I27" s="131">
        <f>G27*Sheet!$D$77</f>
        <v>0.73035349064911115</v>
      </c>
      <c r="J27" s="131">
        <f t="shared" si="1"/>
        <v>66.589979509900786</v>
      </c>
      <c r="K27" s="131">
        <f t="shared" si="2"/>
        <v>1.5106312488051337E-2</v>
      </c>
      <c r="L27" s="131">
        <f t="shared" si="3"/>
        <v>8.8119383820735937</v>
      </c>
    </row>
    <row r="28" spans="1:12" x14ac:dyDescent="0.2">
      <c r="A28" s="134">
        <v>2.4000000000000008</v>
      </c>
      <c r="B28" s="131">
        <f>Sheet!$D$5*A28*60/(Sheet!$D$7*PI())</f>
        <v>53.476060878876844</v>
      </c>
      <c r="C28" s="131">
        <f>MAX((Sheet!$F$35*(SQRT(Sheet!$D$33)*SQRT(2))*(2*Sheet!$D$32*Sheet!$F$25*B28/60*Sheet!$D$30/1000*Sheet!$D$31/1000)*(Sheet!$D$11/Sheet!$D$33))-1.4,0)</f>
        <v>115.48000000000003</v>
      </c>
      <c r="D28" s="131">
        <f>(Sheet!$D$41^4*Sheet!$D$32^2*Sheet!$F$25^2*B28^2*Sheet!$D$13*0.001*Sheet!$D$11*2*Sheet!$F$35*Sheet!$D$43*PI())/(144*10^8*Sheet!$D$65)</f>
        <v>6.67705391670893</v>
      </c>
      <c r="E28" s="131">
        <f>A28^3*Sheet!$D$75/2*Sheet!$D$7^2/4*PI()*Sheet!$D$76/100</f>
        <v>84.133560289538295</v>
      </c>
      <c r="F28" s="131">
        <f t="shared" si="0"/>
        <v>77.456506372829367</v>
      </c>
      <c r="G28" s="131">
        <f>IF(F28=0,0,SQRT((C28^2+2*F28*Sheet!$F$67)/(2*Sheet!$F$67^2)-SQRT((C28^2+2*F28*Sheet!$F$67)^2/(4*Sheet!$F$67^4)-(F28^2/Sheet!$F$67^2))))</f>
        <v>0.66457737635050329</v>
      </c>
      <c r="H28" s="131">
        <f>G28^2*Sheet!$F$67</f>
        <v>0.71111095189188622</v>
      </c>
      <c r="I28" s="131">
        <f>G28*Sheet!$D$77</f>
        <v>0.7974928516206039</v>
      </c>
      <c r="J28" s="131">
        <f t="shared" si="1"/>
        <v>75.947902569316881</v>
      </c>
      <c r="K28" s="131">
        <f t="shared" si="2"/>
        <v>1.5740026225744847E-2</v>
      </c>
      <c r="L28" s="131">
        <f t="shared" si="3"/>
        <v>10.471896529306733</v>
      </c>
    </row>
    <row r="29" spans="1:12" x14ac:dyDescent="0.2">
      <c r="A29" s="134">
        <v>2.5000000000000009</v>
      </c>
      <c r="B29" s="131">
        <f>Sheet!$D$5*A29*60/(Sheet!$D$7*PI())</f>
        <v>55.704230082163392</v>
      </c>
      <c r="C29" s="131">
        <f>MAX((Sheet!$F$35*(SQRT(Sheet!$D$33)*SQRT(2))*(2*Sheet!$D$32*Sheet!$F$25*B29/60*Sheet!$D$30/1000*Sheet!$D$31/1000)*(Sheet!$D$11/Sheet!$D$33))-1.4,0)</f>
        <v>120.35000000000004</v>
      </c>
      <c r="D29" s="131">
        <f>(Sheet!$D$41^4*Sheet!$D$32^2*Sheet!$F$25^2*B29^2*Sheet!$D$13*0.001*Sheet!$D$11*2*Sheet!$F$35*Sheet!$D$43*PI())/(144*10^8*Sheet!$D$65)</f>
        <v>7.245067183928966</v>
      </c>
      <c r="E29" s="131">
        <f>A29^3*Sheet!$D$75/2*Sheet!$D$7^2/4*PI()*Sheet!$D$76/100</f>
        <v>95.094537002606771</v>
      </c>
      <c r="F29" s="131">
        <f t="shared" si="0"/>
        <v>87.849469818677804</v>
      </c>
      <c r="G29" s="131">
        <f>IF(F29=0,0,SQRT((C29^2+2*F29*Sheet!$F$67)/(2*Sheet!$F$67^2)-SQRT((C29^2+2*F29*Sheet!$F$67)^2/(4*Sheet!$F$67^4)-(F29^2/Sheet!$F$67^2))))</f>
        <v>0.72295750361200783</v>
      </c>
      <c r="H29" s="131">
        <f>G29^2*Sheet!$F$67</f>
        <v>0.84153425896594514</v>
      </c>
      <c r="I29" s="131">
        <f>G29*Sheet!$D$77</f>
        <v>0.8675490043344094</v>
      </c>
      <c r="J29" s="131">
        <f t="shared" si="1"/>
        <v>86.140386555377447</v>
      </c>
      <c r="K29" s="131">
        <f t="shared" si="2"/>
        <v>1.6342314592955005E-2</v>
      </c>
      <c r="L29" s="131">
        <f t="shared" si="3"/>
        <v>12.331743675121354</v>
      </c>
    </row>
    <row r="30" spans="1:12" x14ac:dyDescent="0.2">
      <c r="A30" s="134">
        <v>2.600000000000001</v>
      </c>
      <c r="B30" s="131">
        <f>Sheet!$D$5*A30*60/(Sheet!$D$7*PI())</f>
        <v>57.932399285449925</v>
      </c>
      <c r="C30" s="131">
        <f>MAX((Sheet!$F$35*(SQRT(Sheet!$D$33)*SQRT(2))*(2*Sheet!$D$32*Sheet!$F$25*B30/60*Sheet!$D$30/1000*Sheet!$D$31/1000)*(Sheet!$D$11/Sheet!$D$33))-1.4,0)</f>
        <v>125.22000000000003</v>
      </c>
      <c r="D30" s="131">
        <f>(Sheet!$D$41^4*Sheet!$D$32^2*Sheet!$F$25^2*B30^2*Sheet!$D$13*0.001*Sheet!$D$11*2*Sheet!$F$35*Sheet!$D$43*PI())/(144*10^8*Sheet!$D$65)</f>
        <v>7.8362646661375663</v>
      </c>
      <c r="E30" s="131">
        <f>A30^3*Sheet!$D$75/2*Sheet!$D$7^2/4*PI()*Sheet!$D$76/100</f>
        <v>106.96842127090027</v>
      </c>
      <c r="F30" s="131">
        <f t="shared" si="0"/>
        <v>99.132156604762699</v>
      </c>
      <c r="G30" s="131">
        <f>IF(F30=0,0,SQRT((C30^2+2*F30*Sheet!$F$67)/(2*Sheet!$F$67^2)-SQRT((C30^2+2*F30*Sheet!$F$67)^2/(4*Sheet!$F$67^4)-(F30^2/Sheet!$F$67^2))))</f>
        <v>0.78376542181533326</v>
      </c>
      <c r="H30" s="131">
        <f>G30^2*Sheet!$F$67</f>
        <v>0.9890504850200863</v>
      </c>
      <c r="I30" s="131">
        <f>G30*Sheet!$D$77</f>
        <v>0.94051850617839983</v>
      </c>
      <c r="J30" s="131">
        <f t="shared" si="1"/>
        <v>97.202587613564205</v>
      </c>
      <c r="K30" s="131">
        <f t="shared" si="2"/>
        <v>1.6910551122454688E-2</v>
      </c>
      <c r="L30" s="131">
        <f t="shared" si="3"/>
        <v>14.399244105168753</v>
      </c>
    </row>
    <row r="31" spans="1:12" x14ac:dyDescent="0.2">
      <c r="A31" s="131">
        <v>2.7000000000000011</v>
      </c>
      <c r="B31" s="131">
        <f>Sheet!$D$5*A31*60/(Sheet!$D$7*PI())</f>
        <v>60.160568488736466</v>
      </c>
      <c r="C31" s="131">
        <f>MAX((Sheet!$F$35*(SQRT(Sheet!$D$33)*SQRT(2))*(2*Sheet!$D$32*Sheet!$F$25*B31/60*Sheet!$D$30/1000*Sheet!$D$31/1000)*(Sheet!$D$11/Sheet!$D$33))-1.4,0)</f>
        <v>130.09000000000006</v>
      </c>
      <c r="D31" s="131">
        <f>(Sheet!$D$41^4*Sheet!$D$32^2*Sheet!$F$25^2*B31^2*Sheet!$D$13*0.001*Sheet!$D$11*2*Sheet!$F$35*Sheet!$D$43*PI())/(144*10^8*Sheet!$D$65)</f>
        <v>8.4506463633347444</v>
      </c>
      <c r="E31" s="131">
        <f>A31^3*Sheet!$D$75/2*Sheet!$D$7^2/4*PI()*Sheet!$D$76/100</f>
        <v>119.7917293966278</v>
      </c>
      <c r="F31" s="131">
        <f t="shared" si="0"/>
        <v>111.34108303329306</v>
      </c>
      <c r="G31" s="131">
        <f>IF(F31=0,0,SQRT((C31^2+2*F31*Sheet!$F$67)/(2*Sheet!$F$67^2)-SQRT((C31^2+2*F31*Sheet!$F$67)^2/(4*Sheet!$F$67^4)-(F31^2/Sheet!$F$67^2))))</f>
        <v>0.84699827075209222</v>
      </c>
      <c r="H31" s="131">
        <f>G31^2*Sheet!$F$67</f>
        <v>1.15507799117143</v>
      </c>
      <c r="I31" s="131">
        <f>G31*Sheet!$D$77</f>
        <v>1.0163979249025106</v>
      </c>
      <c r="J31" s="131">
        <f t="shared" si="1"/>
        <v>109.16960711721913</v>
      </c>
      <c r="K31" s="131">
        <f t="shared" si="2"/>
        <v>1.7442301505838247E-2</v>
      </c>
      <c r="L31" s="131">
        <f t="shared" si="3"/>
        <v>16.680522214884981</v>
      </c>
    </row>
    <row r="32" spans="1:12" x14ac:dyDescent="0.2">
      <c r="A32" s="131">
        <v>2.8000000000000012</v>
      </c>
      <c r="B32" s="131">
        <f>Sheet!$D$5*A32*60/(Sheet!$D$7*PI())</f>
        <v>62.388737692023</v>
      </c>
      <c r="C32" s="131">
        <f>MAX((Sheet!$F$35*(SQRT(Sheet!$D$33)*SQRT(2))*(2*Sheet!$D$32*Sheet!$F$25*B32/60*Sheet!$D$30/1000*Sheet!$D$31/1000)*(Sheet!$D$11/Sheet!$D$33))-1.4,0)</f>
        <v>134.96000000000006</v>
      </c>
      <c r="D32" s="131">
        <f>(Sheet!$D$41^4*Sheet!$D$32^2*Sheet!$F$25^2*B32^2*Sheet!$D$13*0.001*Sheet!$D$11*2*Sheet!$F$35*Sheet!$D$43*PI())/(144*10^8*Sheet!$D$65)</f>
        <v>9.0882122755204939</v>
      </c>
      <c r="E32" s="131">
        <f>A32^3*Sheet!$D$75/2*Sheet!$D$7^2/4*PI()*Sheet!$D$76/100</f>
        <v>133.60097768199833</v>
      </c>
      <c r="F32" s="131">
        <f t="shared" si="0"/>
        <v>124.51276540647784</v>
      </c>
      <c r="G32" s="131">
        <f>IF(F32=0,0,SQRT((C32^2+2*F32*Sheet!$F$67)/(2*Sheet!$F$67^2)-SQRT((C32^2+2*F32*Sheet!$F$67)^2/(4*Sheet!$F$67^4)-(F32^2/Sheet!$F$67^2))))</f>
        <v>0.91265319888154828</v>
      </c>
      <c r="H32" s="131">
        <f>G32^2*Sheet!$F$67</f>
        <v>1.3410896853891849</v>
      </c>
      <c r="I32" s="131">
        <f>G32*Sheet!$D$77</f>
        <v>1.0951838386578578</v>
      </c>
      <c r="J32" s="131">
        <f t="shared" si="1"/>
        <v>122.0764918824308</v>
      </c>
      <c r="K32" s="131">
        <f t="shared" si="2"/>
        <v>1.7935337614426561E-2</v>
      </c>
      <c r="L32" s="131">
        <f t="shared" si="3"/>
        <v>19.179871927058709</v>
      </c>
    </row>
    <row r="33" spans="1:12" x14ac:dyDescent="0.2">
      <c r="A33" s="131">
        <v>2.9000000000000012</v>
      </c>
      <c r="B33" s="131">
        <f>Sheet!$D$5*A33*60/(Sheet!$D$7*PI())</f>
        <v>64.616906895309526</v>
      </c>
      <c r="C33" s="131">
        <f>MAX((Sheet!$F$35*(SQRT(Sheet!$D$33)*SQRT(2))*(2*Sheet!$D$32*Sheet!$F$25*B33/60*Sheet!$D$30/1000*Sheet!$D$31/1000)*(Sheet!$D$11/Sheet!$D$33))-1.4,0)</f>
        <v>139.83000000000007</v>
      </c>
      <c r="D33" s="131">
        <f>(Sheet!$D$41^4*Sheet!$D$32^2*Sheet!$F$25^2*B33^2*Sheet!$D$13*0.001*Sheet!$D$11*2*Sheet!$F$35*Sheet!$D$43*PI())/(144*10^8*Sheet!$D$65)</f>
        <v>9.7489624026948132</v>
      </c>
      <c r="E33" s="131">
        <f>A33^3*Sheet!$D$75/2*Sheet!$D$7^2/4*PI()*Sheet!$D$76/100</f>
        <v>148.4326824292209</v>
      </c>
      <c r="F33" s="131">
        <f t="shared" si="0"/>
        <v>138.68372002652609</v>
      </c>
      <c r="G33" s="131">
        <f>IF(F33=0,0,SQRT((C33^2+2*F33*Sheet!$F$67)/(2*Sheet!$F$67^2)-SQRT((C33^2+2*F33*Sheet!$F$67)^2/(4*Sheet!$F$67^4)-(F33^2/Sheet!$F$67^2))))</f>
        <v>0.98072736335309318</v>
      </c>
      <c r="H33" s="131">
        <f>G33^2*Sheet!$F$67</f>
        <v>1.5486128088540125</v>
      </c>
      <c r="I33" s="131">
        <f>G33*Sheet!$D$77</f>
        <v>1.1768728360237117</v>
      </c>
      <c r="J33" s="131">
        <f t="shared" si="1"/>
        <v>135.95823438164837</v>
      </c>
      <c r="K33" s="131">
        <f t="shared" si="2"/>
        <v>1.8387650460928141E-2</v>
      </c>
      <c r="L33" s="131">
        <f t="shared" si="3"/>
        <v>21.899583821989509</v>
      </c>
    </row>
    <row r="34" spans="1:12" x14ac:dyDescent="0.2">
      <c r="A34" s="131">
        <v>3.0000000000000013</v>
      </c>
      <c r="B34" s="131">
        <f>Sheet!$D$5*A34*60/(Sheet!$D$7*PI())</f>
        <v>66.845076098596081</v>
      </c>
      <c r="C34" s="131">
        <f>MAX((Sheet!$F$35*(SQRT(Sheet!$D$33)*SQRT(2))*(2*Sheet!$D$32*Sheet!$F$25*B34/60*Sheet!$D$30/1000*Sheet!$D$31/1000)*(Sheet!$D$11/Sheet!$D$33))-1.4,0)</f>
        <v>144.7000000000001</v>
      </c>
      <c r="D34" s="131">
        <f>(Sheet!$D$41^4*Sheet!$D$32^2*Sheet!$F$25^2*B34^2*Sheet!$D$13*0.001*Sheet!$D$11*2*Sheet!$F$35*Sheet!$D$43*PI())/(144*10^8*Sheet!$D$65)</f>
        <v>10.432896744857711</v>
      </c>
      <c r="E34" s="131">
        <f>A34^3*Sheet!$D$75/2*Sheet!$D$7^2/4*PI()*Sheet!$D$76/100</f>
        <v>164.32335994050447</v>
      </c>
      <c r="F34" s="131">
        <f t="shared" si="0"/>
        <v>153.89046319564676</v>
      </c>
      <c r="G34" s="131">
        <f>IF(F34=0,0,SQRT((C34^2+2*F34*Sheet!$F$67)/(2*Sheet!$F$67^2)-SQRT((C34^2+2*F34*Sheet!$F$67)^2/(4*Sheet!$F$67^4)-(F34^2/Sheet!$F$67^2))))</f>
        <v>1.0512179300074576</v>
      </c>
      <c r="H34" s="131">
        <f>G34^2*Sheet!$F$67</f>
        <v>1.7792287235511048</v>
      </c>
      <c r="I34" s="131">
        <f>G34*Sheet!$D$77</f>
        <v>1.2614615160089491</v>
      </c>
      <c r="J34" s="131">
        <f t="shared" si="1"/>
        <v>150.8497729560867</v>
      </c>
      <c r="K34" s="131">
        <f t="shared" si="2"/>
        <v>1.8797461889328723E-2</v>
      </c>
      <c r="L34" s="131">
        <f t="shared" si="3"/>
        <v>24.839793437445952</v>
      </c>
    </row>
    <row r="35" spans="1:12" x14ac:dyDescent="0.2">
      <c r="A35" s="131">
        <v>3.1000000000000014</v>
      </c>
      <c r="B35" s="131">
        <f>Sheet!$D$5*A35*60/(Sheet!$D$7*PI())</f>
        <v>69.073245301882608</v>
      </c>
      <c r="C35" s="131">
        <f>MAX((Sheet!$F$35*(SQRT(Sheet!$D$33)*SQRT(2))*(2*Sheet!$D$32*Sheet!$F$25*B35/60*Sheet!$D$30/1000*Sheet!$D$31/1000)*(Sheet!$D$11/Sheet!$D$33))-1.4,0)</f>
        <v>149.57000000000005</v>
      </c>
      <c r="D35" s="131">
        <f>(Sheet!$D$41^4*Sheet!$D$32^2*Sheet!$F$25^2*B35^2*Sheet!$D$13*0.001*Sheet!$D$11*2*Sheet!$F$35*Sheet!$D$43*PI())/(144*10^8*Sheet!$D$65)</f>
        <v>11.140015302009177</v>
      </c>
      <c r="E35" s="131">
        <f>A35^3*Sheet!$D$75/2*Sheet!$D$7^2/4*PI()*Sheet!$D$76/100</f>
        <v>181.30952651805819</v>
      </c>
      <c r="F35" s="131">
        <f t="shared" si="0"/>
        <v>170.16951121604902</v>
      </c>
      <c r="G35" s="131">
        <f>IF(F35=0,0,SQRT((C35^2+2*F35*Sheet!$F$67)/(2*Sheet!$F$67^2)-SQRT((C35^2+2*F35*Sheet!$F$67)^2/(4*Sheet!$F$67^4)-(F35^2/Sheet!$F$67^2))))</f>
        <v>1.1241220733765835</v>
      </c>
      <c r="H35" s="131">
        <f>G35^2*Sheet!$F$67</f>
        <v>2.0345727011350596</v>
      </c>
      <c r="I35" s="131">
        <f>G35*Sheet!$D$77</f>
        <v>1.3489464880519002</v>
      </c>
      <c r="J35" s="131">
        <f t="shared" si="1"/>
        <v>166.78599202686206</v>
      </c>
      <c r="K35" s="131">
        <f t="shared" si="2"/>
        <v>1.9163234805162525E-2</v>
      </c>
      <c r="L35" s="131">
        <f t="shared" si="3"/>
        <v>27.998353956223049</v>
      </c>
    </row>
    <row r="36" spans="1:12" x14ac:dyDescent="0.2">
      <c r="A36" s="131">
        <v>3.2000000000000015</v>
      </c>
      <c r="B36" s="131">
        <f>Sheet!$D$5*A36*60/(Sheet!$D$7*PI())</f>
        <v>71.301414505169134</v>
      </c>
      <c r="C36" s="131">
        <f>MAX((Sheet!$F$35*(SQRT(Sheet!$D$33)*SQRT(2))*(2*Sheet!$D$32*Sheet!$F$25*B36/60*Sheet!$D$30/1000*Sheet!$D$31/1000)*(Sheet!$D$11/Sheet!$D$33))-1.4,0)</f>
        <v>154.44000000000005</v>
      </c>
      <c r="D36" s="131">
        <f>(Sheet!$D$41^4*Sheet!$D$32^2*Sheet!$F$25^2*B36^2*Sheet!$D$13*0.001*Sheet!$D$11*2*Sheet!$F$35*Sheet!$D$43*PI())/(144*10^8*Sheet!$D$65)</f>
        <v>11.870318074149214</v>
      </c>
      <c r="E36" s="131">
        <f>A36^3*Sheet!$D$75/2*Sheet!$D$7^2/4*PI()*Sheet!$D$76/100</f>
        <v>199.42769846409087</v>
      </c>
      <c r="F36" s="131">
        <f t="shared" si="0"/>
        <v>187.55738038994164</v>
      </c>
      <c r="G36" s="131">
        <f>IF(F36=0,0,SQRT((C36^2+2*F36*Sheet!$F$67)/(2*Sheet!$F$67^2)-SQRT((C36^2+2*F36*Sheet!$F$67)^2/(4*Sheet!$F$67^4)-(F36^2/Sheet!$F$67^2))))</f>
        <v>1.1994369766703339</v>
      </c>
      <c r="H36" s="131">
        <f>G36^2*Sheet!$F$67</f>
        <v>2.316333713016026</v>
      </c>
      <c r="I36" s="131">
        <f>G36*Sheet!$D$77</f>
        <v>1.4393243720044007</v>
      </c>
      <c r="J36" s="131">
        <f t="shared" si="1"/>
        <v>183.80172230492121</v>
      </c>
      <c r="K36" s="131">
        <f t="shared" si="2"/>
        <v>1.9483681782964352E-2</v>
      </c>
      <c r="L36" s="131">
        <f t="shared" si="3"/>
        <v>31.370736192496825</v>
      </c>
    </row>
    <row r="37" spans="1:12" x14ac:dyDescent="0.2">
      <c r="A37" s="131">
        <v>3.3000000000000016</v>
      </c>
      <c r="B37" s="131">
        <f>Sheet!$D$5*A37*60/(Sheet!$D$7*PI())</f>
        <v>73.529583708455689</v>
      </c>
      <c r="C37" s="131">
        <f>MAX((Sheet!$F$35*(SQRT(Sheet!$D$33)*SQRT(2))*(2*Sheet!$D$32*Sheet!$F$25*B37/60*Sheet!$D$30/1000*Sheet!$D$31/1000)*(Sheet!$D$11/Sheet!$D$33))-1.4,0)</f>
        <v>159.31000000000009</v>
      </c>
      <c r="D37" s="131">
        <f>(Sheet!$D$41^4*Sheet!$D$32^2*Sheet!$F$25^2*B37^2*Sheet!$D$13*0.001*Sheet!$D$11*2*Sheet!$F$35*Sheet!$D$43*PI())/(144*10^8*Sheet!$D$65)</f>
        <v>12.623805061277832</v>
      </c>
      <c r="E37" s="131">
        <f>A37^3*Sheet!$D$75/2*Sheet!$D$7^2/4*PI()*Sheet!$D$76/100</f>
        <v>218.71439208081159</v>
      </c>
      <c r="F37" s="131">
        <f t="shared" si="0"/>
        <v>206.09058701953376</v>
      </c>
      <c r="G37" s="131">
        <f>IF(F37=0,0,SQRT((C37^2+2*F37*Sheet!$F$67)/(2*Sheet!$F$67^2)-SQRT((C37^2+2*F37*Sheet!$F$67)^2/(4*Sheet!$F$67^4)-(F37^2/Sheet!$F$67^2))))</f>
        <v>1.2771598317611295</v>
      </c>
      <c r="H37" s="131">
        <f>G37^2*Sheet!$F$67</f>
        <v>2.6262542216868936</v>
      </c>
      <c r="I37" s="131">
        <f>G37*Sheet!$D$77</f>
        <v>1.5325917981133552</v>
      </c>
      <c r="J37" s="131">
        <f t="shared" si="1"/>
        <v>201.93174099973351</v>
      </c>
      <c r="K37" s="131">
        <f t="shared" si="2"/>
        <v>1.9757771912639142E-2</v>
      </c>
      <c r="L37" s="131">
        <f t="shared" si="3"/>
        <v>34.949958418010944</v>
      </c>
    </row>
    <row r="38" spans="1:12" x14ac:dyDescent="0.2">
      <c r="A38" s="131">
        <v>3.4000000000000017</v>
      </c>
      <c r="B38" s="131">
        <f>Sheet!$D$5*A38*60/(Sheet!$D$7*PI())</f>
        <v>75.757752911742216</v>
      </c>
      <c r="C38" s="131">
        <f>MAX((Sheet!$F$35*(SQRT(Sheet!$D$33)*SQRT(2))*(2*Sheet!$D$32*Sheet!$F$25*B38/60*Sheet!$D$30/1000*Sheet!$D$31/1000)*(Sheet!$D$11/Sheet!$D$33))-1.4,0)</f>
        <v>164.18000000000004</v>
      </c>
      <c r="D38" s="131">
        <f>(Sheet!$D$41^4*Sheet!$D$32^2*Sheet!$F$25^2*B38^2*Sheet!$D$13*0.001*Sheet!$D$11*2*Sheet!$F$35*Sheet!$D$43*PI())/(144*10^8*Sheet!$D$65)</f>
        <v>13.400476263395014</v>
      </c>
      <c r="E38" s="131">
        <f>A38^3*Sheet!$D$75/2*Sheet!$D$7^2/4*PI()*Sheet!$D$76/100</f>
        <v>239.20612367042932</v>
      </c>
      <c r="F38" s="131">
        <f t="shared" si="0"/>
        <v>225.80564740703431</v>
      </c>
      <c r="G38" s="131">
        <f>IF(F38=0,0,SQRT((C38^2+2*F38*Sheet!$F$67)/(2*Sheet!$F$67^2)-SQRT((C38^2+2*F38*Sheet!$F$67)^2/(4*Sheet!$F$67^4)-(F38^2/Sheet!$F$67^2))))</f>
        <v>1.3572878391631376</v>
      </c>
      <c r="H38" s="131">
        <f>G38^2*Sheet!$F$67</f>
        <v>2.9661299732680857</v>
      </c>
      <c r="I38" s="131">
        <f>G38*Sheet!$D$77</f>
        <v>1.628745406995765</v>
      </c>
      <c r="J38" s="131">
        <f t="shared" si="1"/>
        <v>221.21077202677046</v>
      </c>
      <c r="K38" s="131">
        <f t="shared" si="2"/>
        <v>1.9984735771865311E-2</v>
      </c>
      <c r="L38" s="131">
        <f t="shared" si="3"/>
        <v>38.726548140685189</v>
      </c>
    </row>
    <row r="39" spans="1:12" x14ac:dyDescent="0.2">
      <c r="A39" s="131">
        <v>3.5000000000000018</v>
      </c>
      <c r="B39" s="131">
        <f>Sheet!$D$5*A39*60/(Sheet!$D$7*PI())</f>
        <v>77.985922115028771</v>
      </c>
      <c r="C39" s="131">
        <f>MAX((Sheet!$F$35*(SQRT(Sheet!$D$33)*SQRT(2))*(2*Sheet!$D$32*Sheet!$F$25*B39/60*Sheet!$D$30/1000*Sheet!$D$31/1000)*(Sheet!$D$11/Sheet!$D$33))-1.4,0)</f>
        <v>169.05000000000013</v>
      </c>
      <c r="D39" s="131">
        <f>(Sheet!$D$41^4*Sheet!$D$32^2*Sheet!$F$25^2*B39^2*Sheet!$D$13*0.001*Sheet!$D$11*2*Sheet!$F$35*Sheet!$D$43*PI())/(144*10^8*Sheet!$D$65)</f>
        <v>14.20033168050078</v>
      </c>
      <c r="E39" s="131">
        <f>A39^3*Sheet!$D$75/2*Sheet!$D$7^2/4*PI()*Sheet!$D$76/100</f>
        <v>260.93940953515312</v>
      </c>
      <c r="F39" s="131">
        <f t="shared" si="0"/>
        <v>246.73907785465235</v>
      </c>
      <c r="G39" s="131">
        <f>IF(F39=0,0,SQRT((C39^2+2*F39*Sheet!$F$67)/(2*Sheet!$F$67^2)-SQRT((C39^2+2*F39*Sheet!$F$67)^2/(4*Sheet!$F$67^4)-(F39^2/Sheet!$F$67^2))))</f>
        <v>1.4398182080060109</v>
      </c>
      <c r="H39" s="131">
        <f>G39^2*Sheet!$F$67</f>
        <v>3.3378097912545983</v>
      </c>
      <c r="I39" s="131">
        <f>G39*Sheet!$D$77</f>
        <v>1.727781849607213</v>
      </c>
      <c r="J39" s="131">
        <f t="shared" si="1"/>
        <v>241.67348621379054</v>
      </c>
      <c r="K39" s="131">
        <f t="shared" si="2"/>
        <v>2.0164068437488289E-2</v>
      </c>
      <c r="L39" s="131">
        <f t="shared" si="3"/>
        <v>42.688537468141398</v>
      </c>
    </row>
    <row r="40" spans="1:12" x14ac:dyDescent="0.2">
      <c r="A40" s="131">
        <v>3.6000000000000019</v>
      </c>
      <c r="B40" s="131">
        <f>Sheet!$D$5*A40*60/(Sheet!$D$7*PI())</f>
        <v>80.214091318315297</v>
      </c>
      <c r="C40" s="131">
        <f>MAX((Sheet!$F$35*(SQRT(Sheet!$D$33)*SQRT(2))*(2*Sheet!$D$32*Sheet!$F$25*B40/60*Sheet!$D$30/1000*Sheet!$D$31/1000)*(Sheet!$D$11/Sheet!$D$33))-1.4,0)</f>
        <v>173.92000000000004</v>
      </c>
      <c r="D40" s="131">
        <f>(Sheet!$D$41^4*Sheet!$D$32^2*Sheet!$F$25^2*B40^2*Sheet!$D$13*0.001*Sheet!$D$11*2*Sheet!$F$35*Sheet!$D$43*PI())/(144*10^8*Sheet!$D$65)</f>
        <v>15.023371312595108</v>
      </c>
      <c r="E40" s="131">
        <f>A40^3*Sheet!$D$75/2*Sheet!$D$7^2/4*PI()*Sheet!$D$76/100</f>
        <v>283.95076597719185</v>
      </c>
      <c r="F40" s="131">
        <f t="shared" si="0"/>
        <v>268.92739466459676</v>
      </c>
      <c r="G40" s="131">
        <f>IF(F40=0,0,SQRT((C40^2+2*F40*Sheet!$F$67)/(2*Sheet!$F$67^2)-SQRT((C40^2+2*F40*Sheet!$F$67)^2/(4*Sheet!$F$67^4)-(F40^2/Sheet!$F$67^2))))</f>
        <v>1.5247481560092309</v>
      </c>
      <c r="H40" s="131">
        <f>G40^2*Sheet!$F$67</f>
        <v>3.7431953714784441</v>
      </c>
      <c r="I40" s="131">
        <f>G40*Sheet!$D$77</f>
        <v>1.8296977872110769</v>
      </c>
      <c r="J40" s="131">
        <f t="shared" si="1"/>
        <v>263.35450150590719</v>
      </c>
      <c r="K40" s="131">
        <f t="shared" si="2"/>
        <v>2.0295530475078091E-2</v>
      </c>
      <c r="L40" s="131">
        <f t="shared" si="3"/>
        <v>46.821493164904332</v>
      </c>
    </row>
    <row r="41" spans="1:12" x14ac:dyDescent="0.2">
      <c r="A41" s="131">
        <v>3.700000000000002</v>
      </c>
      <c r="B41" s="131">
        <f>Sheet!$D$5*A41*60/(Sheet!$D$7*PI())</f>
        <v>82.442260521601824</v>
      </c>
      <c r="C41" s="131">
        <f>MAX((Sheet!$F$35*(SQRT(Sheet!$D$33)*SQRT(2))*(2*Sheet!$D$32*Sheet!$F$25*B41/60*Sheet!$D$30/1000*Sheet!$D$31/1000)*(Sheet!$D$11/Sheet!$D$33))-1.4,0)</f>
        <v>178.79000000000005</v>
      </c>
      <c r="D41" s="131">
        <f>(Sheet!$D$41^4*Sheet!$D$32^2*Sheet!$F$25^2*B41^2*Sheet!$D$13*0.001*Sheet!$D$11*2*Sheet!$F$35*Sheet!$D$43*PI())/(144*10^8*Sheet!$D$65)</f>
        <v>15.869595159678006</v>
      </c>
      <c r="E41" s="131">
        <f>A41^3*Sheet!$D$75/2*Sheet!$D$7^2/4*PI()*Sheet!$D$76/100</f>
        <v>308.27670929875478</v>
      </c>
      <c r="F41" s="131">
        <f t="shared" si="0"/>
        <v>292.40711413907678</v>
      </c>
      <c r="G41" s="131">
        <f>IF(F41=0,0,SQRT((C41^2+2*F41*Sheet!$F$67)/(2*Sheet!$F$67^2)-SQRT((C41^2+2*F41*Sheet!$F$67)^2/(4*Sheet!$F$67^4)-(F41^2/Sheet!$F$67^2))))</f>
        <v>1.6120749094516829</v>
      </c>
      <c r="H41" s="131">
        <f>G41^2*Sheet!$F$67</f>
        <v>4.1842410782528425</v>
      </c>
      <c r="I41" s="131">
        <f>G41*Sheet!$D$77</f>
        <v>1.9344898913420194</v>
      </c>
      <c r="J41" s="131">
        <f t="shared" si="1"/>
        <v>286.2883831694819</v>
      </c>
      <c r="K41" s="131">
        <f t="shared" si="2"/>
        <v>2.037914687226108E-2</v>
      </c>
      <c r="L41" s="131">
        <f t="shared" si="3"/>
        <v>51.108581953873326</v>
      </c>
    </row>
    <row r="42" spans="1:12" x14ac:dyDescent="0.2">
      <c r="A42" s="131">
        <v>3.800000000000002</v>
      </c>
      <c r="B42" s="131">
        <f>Sheet!$D$5*A42*60/(Sheet!$D$7*PI())</f>
        <v>84.670429724888365</v>
      </c>
      <c r="C42" s="131">
        <f>MAX((Sheet!$F$35*(SQRT(Sheet!$D$33)*SQRT(2))*(2*Sheet!$D$32*Sheet!$F$25*B42/60*Sheet!$D$30/1000*Sheet!$D$31/1000)*(Sheet!$D$11/Sheet!$D$33))-1.4,0)</f>
        <v>183.66000000000008</v>
      </c>
      <c r="D42" s="131">
        <f>(Sheet!$D$41^4*Sheet!$D$32^2*Sheet!$F$25^2*B42^2*Sheet!$D$13*0.001*Sheet!$D$11*2*Sheet!$F$35*Sheet!$D$43*PI())/(144*10^8*Sheet!$D$65)</f>
        <v>16.739003221749485</v>
      </c>
      <c r="E42" s="131">
        <f>A42^3*Sheet!$D$75/2*Sheet!$D$7^2/4*PI()*Sheet!$D$76/100</f>
        <v>333.95375580205058</v>
      </c>
      <c r="F42" s="131">
        <f t="shared" si="0"/>
        <v>317.21475258030108</v>
      </c>
      <c r="G42" s="131">
        <f>IF(F42=0,0,SQRT((C42^2+2*F42*Sheet!$F$67)/(2*Sheet!$F$67^2)-SQRT((C42^2+2*F42*Sheet!$F$67)^2/(4*Sheet!$F$67^4)-(F42^2/Sheet!$F$67^2))))</f>
        <v>1.7017957031394708</v>
      </c>
      <c r="H42" s="131">
        <f>G42^2*Sheet!$F$67</f>
        <v>4.6629537416981277</v>
      </c>
      <c r="I42" s="131">
        <f>G42*Sheet!$D$77</f>
        <v>2.0421548437673649</v>
      </c>
      <c r="J42" s="131">
        <f t="shared" si="1"/>
        <v>310.50964399483559</v>
      </c>
      <c r="K42" s="131">
        <f t="shared" si="2"/>
        <v>2.0415203907874067E-2</v>
      </c>
      <c r="L42" s="131">
        <f t="shared" si="3"/>
        <v>55.530671030239738</v>
      </c>
    </row>
    <row r="43" spans="1:12" x14ac:dyDescent="0.2">
      <c r="A43" s="131">
        <v>3.9000000000000021</v>
      </c>
      <c r="B43" s="131">
        <f>Sheet!$D$5*A43*60/(Sheet!$D$7*PI())</f>
        <v>86.898598928174906</v>
      </c>
      <c r="C43" s="131">
        <f>MAX((Sheet!$F$35*(SQRT(Sheet!$D$33)*SQRT(2))*(2*Sheet!$D$32*Sheet!$F$25*B43/60*Sheet!$D$30/1000*Sheet!$D$31/1000)*(Sheet!$D$11/Sheet!$D$33))-1.4,0)</f>
        <v>188.53000000000011</v>
      </c>
      <c r="D43" s="131">
        <f>(Sheet!$D$41^4*Sheet!$D$32^2*Sheet!$F$25^2*B43^2*Sheet!$D$13*0.001*Sheet!$D$11*2*Sheet!$F$35*Sheet!$D$43*PI())/(144*10^8*Sheet!$D$65)</f>
        <v>17.631595498809535</v>
      </c>
      <c r="E43" s="131">
        <f>A43^3*Sheet!$D$75/2*Sheet!$D$7^2/4*PI()*Sheet!$D$76/100</f>
        <v>361.01842178928854</v>
      </c>
      <c r="F43" s="131">
        <f t="shared" si="0"/>
        <v>343.38682629047901</v>
      </c>
      <c r="G43" s="131">
        <f>IF(F43=0,0,SQRT((C43^2+2*F43*Sheet!$F$67)/(2*Sheet!$F$67^2)-SQRT((C43^2+2*F43*Sheet!$F$67)^2/(4*Sheet!$F$67^4)-(F43^2/Sheet!$F$67^2))))</f>
        <v>1.7939077803756991</v>
      </c>
      <c r="H43" s="131">
        <f>G43^2*Sheet!$F$67</f>
        <v>5.1813924562596609</v>
      </c>
      <c r="I43" s="131">
        <f>G43*Sheet!$D$77</f>
        <v>2.1526893364508388</v>
      </c>
      <c r="J43" s="131">
        <f t="shared" si="1"/>
        <v>336.05274449776846</v>
      </c>
      <c r="K43" s="131">
        <f t="shared" si="2"/>
        <v>2.0404243975171901E-2</v>
      </c>
      <c r="L43" s="131">
        <f t="shared" si="3"/>
        <v>60.066463160385098</v>
      </c>
    </row>
    <row r="44" spans="1:12" x14ac:dyDescent="0.2">
      <c r="A44" s="131">
        <v>4.0000000000000018</v>
      </c>
      <c r="B44" s="131">
        <f>Sheet!$D$5*A44*60/(Sheet!$D$7*PI())</f>
        <v>89.126768131461446</v>
      </c>
      <c r="C44" s="131">
        <f>MAX((Sheet!$F$35*(SQRT(Sheet!$D$33)*SQRT(2))*(2*Sheet!$D$32*Sheet!$F$25*B44/60*Sheet!$D$30/1000*Sheet!$D$31/1000)*(Sheet!$D$11/Sheet!$D$33))-1.4,0)</f>
        <v>193.40000000000012</v>
      </c>
      <c r="D44" s="131">
        <f>(Sheet!$D$41^4*Sheet!$D$32^2*Sheet!$F$25^2*B44^2*Sheet!$D$13*0.001*Sheet!$D$11*2*Sheet!$F$35*Sheet!$D$43*PI())/(144*10^8*Sheet!$D$65)</f>
        <v>18.547371990858156</v>
      </c>
      <c r="E44" s="131">
        <f>A44^3*Sheet!$D$75/2*Sheet!$D$7^2/4*PI()*Sheet!$D$76/100</f>
        <v>389.50722356267738</v>
      </c>
      <c r="F44" s="131">
        <f t="shared" si="0"/>
        <v>370.95985157181923</v>
      </c>
      <c r="G44" s="131">
        <f>IF(F44=0,0,SQRT((C44^2+2*F44*Sheet!$F$67)/(2*Sheet!$F$67^2)-SQRT((C44^2+2*F44*Sheet!$F$67)^2/(4*Sheet!$F$67^4)-(F44^2/Sheet!$F$67^2))))</f>
        <v>1.8884083929239128</v>
      </c>
      <c r="H44" s="131">
        <f>G44^2*Sheet!$F$67</f>
        <v>5.7416683803635333</v>
      </c>
      <c r="I44" s="131">
        <f>G44*Sheet!$D$77</f>
        <v>2.2660900715086951</v>
      </c>
      <c r="J44" s="131">
        <f t="shared" si="1"/>
        <v>362.95209311994699</v>
      </c>
      <c r="K44" s="131">
        <f t="shared" si="2"/>
        <v>2.0347058402961162E-2</v>
      </c>
      <c r="L44" s="131">
        <f t="shared" si="3"/>
        <v>64.692665141011787</v>
      </c>
    </row>
    <row r="45" spans="1:12" x14ac:dyDescent="0.2">
      <c r="A45" s="131">
        <v>4.1000000000000014</v>
      </c>
      <c r="B45" s="131">
        <f>Sheet!$D$5*A45*60/(Sheet!$D$7*PI())</f>
        <v>91.354937334747959</v>
      </c>
      <c r="C45" s="131">
        <f>MAX((Sheet!$F$35*(SQRT(Sheet!$D$33)*SQRT(2))*(2*Sheet!$D$32*Sheet!$F$25*B45/60*Sheet!$D$30/1000*Sheet!$D$31/1000)*(Sheet!$D$11/Sheet!$D$33))-1.4,0)</f>
        <v>198.27000000000007</v>
      </c>
      <c r="D45" s="131">
        <f>(Sheet!$D$41^4*Sheet!$D$32^2*Sheet!$F$25^2*B45^2*Sheet!$D$13*0.001*Sheet!$D$11*2*Sheet!$F$35*Sheet!$D$43*PI())/(144*10^8*Sheet!$D$65)</f>
        <v>19.486332697895339</v>
      </c>
      <c r="E45" s="131">
        <f>A45^3*Sheet!$D$75/2*Sheet!$D$7^2/4*PI()*Sheet!$D$76/100</f>
        <v>419.4566774244264</v>
      </c>
      <c r="F45" s="131">
        <f t="shared" si="0"/>
        <v>399.97034472653104</v>
      </c>
      <c r="G45" s="131">
        <f>IF(F45=0,0,SQRT((C45^2+2*F45*Sheet!$F$67)/(2*Sheet!$F$67^2)-SQRT((C45^2+2*F45*Sheet!$F$67)^2/(4*Sheet!$F$67^4)-(F45^2/Sheet!$F$67^2))))</f>
        <v>1.9852948009749554</v>
      </c>
      <c r="H45" s="131">
        <f>G45^2*Sheet!$F$67</f>
        <v>6.3459445372510794</v>
      </c>
      <c r="I45" s="131">
        <f>G45*Sheet!$D$77</f>
        <v>2.3823537611699463</v>
      </c>
      <c r="J45" s="131">
        <f t="shared" si="1"/>
        <v>391.24204642811003</v>
      </c>
      <c r="K45" s="131">
        <f t="shared" si="2"/>
        <v>2.0244678343331397E-2</v>
      </c>
      <c r="L45" s="131">
        <f t="shared" si="3"/>
        <v>69.384187806676621</v>
      </c>
    </row>
    <row r="46" spans="1:12" x14ac:dyDescent="0.2">
      <c r="A46" s="131">
        <v>4.2000000000000011</v>
      </c>
      <c r="B46" s="131">
        <f>Sheet!$D$5*A46*60/(Sheet!$D$7*PI())</f>
        <v>93.583106538034485</v>
      </c>
      <c r="C46" s="131">
        <f>MAX((Sheet!$F$35*(SQRT(Sheet!$D$33)*SQRT(2))*(2*Sheet!$D$32*Sheet!$F$25*B46/60*Sheet!$D$30/1000*Sheet!$D$31/1000)*(Sheet!$D$11/Sheet!$D$33))-1.4,0)</f>
        <v>203.1400000000001</v>
      </c>
      <c r="D46" s="131">
        <f>(Sheet!$D$41^4*Sheet!$D$32^2*Sheet!$F$25^2*B46^2*Sheet!$D$13*0.001*Sheet!$D$11*2*Sheet!$F$35*Sheet!$D$43*PI())/(144*10^8*Sheet!$D$65)</f>
        <v>20.448477619921103</v>
      </c>
      <c r="E46" s="131">
        <f>A46^3*Sheet!$D$75/2*Sheet!$D$7^2/4*PI()*Sheet!$D$76/100</f>
        <v>450.90329967674415</v>
      </c>
      <c r="F46" s="131">
        <f t="shared" si="0"/>
        <v>430.45482205682305</v>
      </c>
      <c r="G46" s="131">
        <f>IF(F46=0,0,SQRT((C46^2+2*F46*Sheet!$F$67)/(2*Sheet!$F$67^2)-SQRT((C46^2+2*F46*Sheet!$F$67)^2/(4*Sheet!$F$67^4)-(F46^2/Sheet!$F$67^2))))</f>
        <v>2.0845642731117011</v>
      </c>
      <c r="H46" s="131">
        <f>G46^2*Sheet!$F$67</f>
        <v>6.9964356169541215</v>
      </c>
      <c r="I46" s="131">
        <f>G46*Sheet!$D$77</f>
        <v>2.5014771277340411</v>
      </c>
      <c r="J46" s="131">
        <f t="shared" si="1"/>
        <v>420.95690931213488</v>
      </c>
      <c r="K46" s="131">
        <f t="shared" si="2"/>
        <v>2.0098363818303329E-2</v>
      </c>
      <c r="L46" s="131">
        <f t="shared" si="3"/>
        <v>74.114375209010149</v>
      </c>
    </row>
    <row r="47" spans="1:12" x14ac:dyDescent="0.2">
      <c r="A47" s="131">
        <v>4.3000000000000007</v>
      </c>
      <c r="B47" s="131">
        <f>Sheet!$D$5*A47*60/(Sheet!$D$7*PI())</f>
        <v>95.811275741321012</v>
      </c>
      <c r="C47" s="131">
        <f>MAX((Sheet!$F$35*(SQRT(Sheet!$D$33)*SQRT(2))*(2*Sheet!$D$32*Sheet!$F$25*B47/60*Sheet!$D$30/1000*Sheet!$D$31/1000)*(Sheet!$D$11/Sheet!$D$33))-1.4,0)</f>
        <v>208.01000000000008</v>
      </c>
      <c r="D47" s="131">
        <f>(Sheet!$D$41^4*Sheet!$D$32^2*Sheet!$F$25^2*B47^2*Sheet!$D$13*0.001*Sheet!$D$11*2*Sheet!$F$35*Sheet!$D$43*PI())/(144*10^8*Sheet!$D$65)</f>
        <v>21.433806756935439</v>
      </c>
      <c r="E47" s="131">
        <f>A47^3*Sheet!$D$75/2*Sheet!$D$7^2/4*PI()*Sheet!$D$76/100</f>
        <v>483.8836066218401</v>
      </c>
      <c r="F47" s="131">
        <f t="shared" si="0"/>
        <v>462.44979986490466</v>
      </c>
      <c r="G47" s="131">
        <f>IF(F47=0,0,SQRT((C47^2+2*F47*Sheet!$F$67)/(2*Sheet!$F$67^2)-SQRT((C47^2+2*F47*Sheet!$F$67)^2/(4*Sheet!$F$67^4)-(F47^2/Sheet!$F$67^2))))</f>
        <v>2.186214086272861</v>
      </c>
      <c r="H47" s="131">
        <f>G47^2*Sheet!$F$67</f>
        <v>7.6954077794065636</v>
      </c>
      <c r="I47" s="131">
        <f>G47*Sheet!$D$77</f>
        <v>2.6234569035274329</v>
      </c>
      <c r="J47" s="131">
        <f t="shared" si="1"/>
        <v>452.1309351819707</v>
      </c>
      <c r="K47" s="131">
        <f t="shared" si="2"/>
        <v>1.9909591039907283E-2</v>
      </c>
      <c r="L47" s="131">
        <f t="shared" si="3"/>
        <v>78.855260059843445</v>
      </c>
    </row>
    <row r="48" spans="1:12" x14ac:dyDescent="0.2">
      <c r="A48" s="131">
        <v>4.4000000000000004</v>
      </c>
      <c r="B48" s="131">
        <f>Sheet!$D$5*A48*60/(Sheet!$D$7*PI())</f>
        <v>98.039444944607538</v>
      </c>
      <c r="C48" s="131">
        <f>MAX((Sheet!$F$35*(SQRT(Sheet!$D$33)*SQRT(2))*(2*Sheet!$D$32*Sheet!$F$25*B48/60*Sheet!$D$30/1000*Sheet!$D$31/1000)*(Sheet!$D$11/Sheet!$D$33))-1.4,0)</f>
        <v>212.88000000000002</v>
      </c>
      <c r="D48" s="131">
        <f>(Sheet!$D$41^4*Sheet!$D$32^2*Sheet!$F$25^2*B48^2*Sheet!$D$13*0.001*Sheet!$D$11*2*Sheet!$F$35*Sheet!$D$43*PI())/(144*10^8*Sheet!$D$65)</f>
        <v>22.442320108938343</v>
      </c>
      <c r="E48" s="131">
        <f>A48^3*Sheet!$D$75/2*Sheet!$D$7^2/4*PI()*Sheet!$D$76/100</f>
        <v>518.43411456192314</v>
      </c>
      <c r="F48" s="131">
        <f t="shared" si="0"/>
        <v>495.99179445298478</v>
      </c>
      <c r="G48" s="131">
        <f>IF(F48=0,0,SQRT((C48^2+2*F48*Sheet!$F$67)/(2*Sheet!$F$67^2)-SQRT((C48^2+2*F48*Sheet!$F$67)^2/(4*Sheet!$F$67^4)-(F48^2/Sheet!$F$67^2))))</f>
        <v>2.2902415257152864</v>
      </c>
      <c r="H48" s="131">
        <f>G48^2*Sheet!$F$67</f>
        <v>8.4451784586776508</v>
      </c>
      <c r="I48" s="131">
        <f>G48*Sheet!$D$77</f>
        <v>2.7482898308583437</v>
      </c>
      <c r="J48" s="131">
        <f t="shared" si="1"/>
        <v>484.79832616344873</v>
      </c>
      <c r="K48" s="131">
        <f t="shared" si="2"/>
        <v>1.9680038138652621E-2</v>
      </c>
      <c r="L48" s="131">
        <f t="shared" si="3"/>
        <v>83.577842044436224</v>
      </c>
    </row>
    <row r="49" spans="1:12" x14ac:dyDescent="0.2">
      <c r="A49" s="131">
        <v>4.5</v>
      </c>
      <c r="B49" s="131">
        <f>Sheet!$D$5*A49*60/(Sheet!$D$7*PI())</f>
        <v>100.26761414789407</v>
      </c>
      <c r="C49" s="131">
        <f>MAX((Sheet!$F$35*(SQRT(Sheet!$D$33)*SQRT(2))*(2*Sheet!$D$32*Sheet!$F$25*B49/60*Sheet!$D$30/1000*Sheet!$D$31/1000)*(Sheet!$D$11/Sheet!$D$33))-1.4,0)</f>
        <v>217.75</v>
      </c>
      <c r="D49" s="131">
        <f>(Sheet!$D$41^4*Sheet!$D$32^2*Sheet!$F$25^2*B49^2*Sheet!$D$13*0.001*Sheet!$D$11*2*Sheet!$F$35*Sheet!$D$43*PI())/(144*10^8*Sheet!$D$65)</f>
        <v>23.474017675929826</v>
      </c>
      <c r="E49" s="131">
        <f>A49^3*Sheet!$D$75/2*Sheet!$D$7^2/4*PI()*Sheet!$D$76/100</f>
        <v>554.59133979920216</v>
      </c>
      <c r="F49" s="131">
        <f t="shared" si="0"/>
        <v>531.11732212327229</v>
      </c>
      <c r="G49" s="131">
        <f>IF(F49=0,0,SQRT((C49^2+2*F49*Sheet!$F$67)/(2*Sheet!$F$67^2)-SQRT((C49^2+2*F49*Sheet!$F$67)^2/(4*Sheet!$F$67^4)-(F49^2/Sheet!$F$67^2))))</f>
        <v>2.3966438849822169</v>
      </c>
      <c r="H49" s="131">
        <f>G49^2*Sheet!$F$67</f>
        <v>9.2481161683723752</v>
      </c>
      <c r="I49" s="131">
        <f>G49*Sheet!$D$77</f>
        <v>2.8759726619786603</v>
      </c>
      <c r="J49" s="131">
        <f t="shared" si="1"/>
        <v>518.99323329292133</v>
      </c>
      <c r="K49" s="131">
        <f t="shared" si="2"/>
        <v>1.9411569453778619E-2</v>
      </c>
      <c r="L49" s="131">
        <f t="shared" si="3"/>
        <v>88.252385180374432</v>
      </c>
    </row>
    <row r="50" spans="1:12" x14ac:dyDescent="0.2">
      <c r="A50" s="131">
        <v>4.5999999999999996</v>
      </c>
      <c r="B50" s="131">
        <f>Sheet!$D$5*A50*60/(Sheet!$D$7*PI())</f>
        <v>102.49578335118059</v>
      </c>
      <c r="C50" s="131">
        <f>MAX((Sheet!$F$35*(SQRT(Sheet!$D$33)*SQRT(2))*(2*Sheet!$D$32*Sheet!$F$25*B50/60*Sheet!$D$30/1000*Sheet!$D$31/1000)*(Sheet!$D$11/Sheet!$D$33))-1.4,0)</f>
        <v>222.62</v>
      </c>
      <c r="D50" s="131">
        <f>(Sheet!$D$41^4*Sheet!$D$32^2*Sheet!$F$25^2*B50^2*Sheet!$D$13*0.001*Sheet!$D$11*2*Sheet!$F$35*Sheet!$D$43*PI())/(144*10^8*Sheet!$D$65)</f>
        <v>24.528899457909883</v>
      </c>
      <c r="E50" s="131">
        <f>A50^3*Sheet!$D$75/2*Sheet!$D$7^2/4*PI()*Sheet!$D$76/100</f>
        <v>592.39179863588606</v>
      </c>
      <c r="F50" s="131">
        <f t="shared" si="0"/>
        <v>567.86289917797615</v>
      </c>
      <c r="G50" s="131">
        <f>IF(F50=0,0,SQRT((C50^2+2*F50*Sheet!$F$67)/(2*Sheet!$F$67^2)-SQRT((C50^2+2*F50*Sheet!$F$67)^2/(4*Sheet!$F$67^4)-(F50^2/Sheet!$F$67^2))))</f>
        <v>2.5054184658607457</v>
      </c>
      <c r="H50" s="131">
        <f>G50^2*Sheet!$F$67</f>
        <v>10.106640308070048</v>
      </c>
      <c r="I50" s="131">
        <f>G50*Sheet!$D$77</f>
        <v>3.0065021590328946</v>
      </c>
      <c r="J50" s="131">
        <f t="shared" si="1"/>
        <v>554.74975671087316</v>
      </c>
      <c r="K50" s="131">
        <f t="shared" si="2"/>
        <v>1.9106218554843877E-2</v>
      </c>
      <c r="L50" s="131">
        <f t="shared" si="3"/>
        <v>92.848730031888238</v>
      </c>
    </row>
    <row r="51" spans="1:12" x14ac:dyDescent="0.2">
      <c r="A51" s="131">
        <v>4.6999999999999993</v>
      </c>
      <c r="B51" s="131">
        <f>Sheet!$D$5*A51*60/(Sheet!$D$7*PI())</f>
        <v>104.7239525544671</v>
      </c>
      <c r="C51" s="131">
        <f>MAX((Sheet!$F$35*(SQRT(Sheet!$D$33)*SQRT(2))*(2*Sheet!$D$32*Sheet!$F$25*B51/60*Sheet!$D$30/1000*Sheet!$D$31/1000)*(Sheet!$D$11/Sheet!$D$33))-1.4,0)</f>
        <v>227.48999999999992</v>
      </c>
      <c r="D51" s="131">
        <f>(Sheet!$D$41^4*Sheet!$D$32^2*Sheet!$F$25^2*B51^2*Sheet!$D$13*0.001*Sheet!$D$11*2*Sheet!$F$35*Sheet!$D$43*PI())/(144*10^8*Sheet!$D$65)</f>
        <v>25.606965454878495</v>
      </c>
      <c r="E51" s="131">
        <f>A51^3*Sheet!$D$75/2*Sheet!$D$7^2/4*PI()*Sheet!$D$76/100</f>
        <v>631.87200737418402</v>
      </c>
      <c r="F51" s="131">
        <f t="shared" si="0"/>
        <v>606.26504191930553</v>
      </c>
      <c r="G51" s="131">
        <f>IF(F51=0,0,SQRT((C51^2+2*F51*Sheet!$F$67)/(2*Sheet!$F$67^2)-SQRT((C51^2+2*F51*Sheet!$F$67)^2/(4*Sheet!$F$67^4)-(F51^2/Sheet!$F$67^2))))</f>
        <v>2.6165625783480926</v>
      </c>
      <c r="H51" s="131">
        <f>G51^2*Sheet!$F$67</f>
        <v>11.02322097093146</v>
      </c>
      <c r="I51" s="131">
        <f>G51*Sheet!$D$77</f>
        <v>3.1398750940177109</v>
      </c>
      <c r="J51" s="131">
        <f t="shared" si="1"/>
        <v>592.10194585435636</v>
      </c>
      <c r="K51" s="131">
        <f t="shared" si="2"/>
        <v>1.8766170177902192E-2</v>
      </c>
      <c r="L51" s="131">
        <f t="shared" si="3"/>
        <v>97.336616296272155</v>
      </c>
    </row>
    <row r="52" spans="1:12" x14ac:dyDescent="0.2">
      <c r="A52" s="131">
        <v>4.7999999999999989</v>
      </c>
      <c r="B52" s="131">
        <f>Sheet!$D$5*A52*60/(Sheet!$D$7*PI())</f>
        <v>106.95212175775364</v>
      </c>
      <c r="C52" s="131">
        <f>MAX((Sheet!$F$35*(SQRT(Sheet!$D$33)*SQRT(2))*(2*Sheet!$D$32*Sheet!$F$25*B52/60*Sheet!$D$30/1000*Sheet!$D$31/1000)*(Sheet!$D$11/Sheet!$D$33))-1.4,0)</f>
        <v>232.35999999999993</v>
      </c>
      <c r="D52" s="131">
        <f>(Sheet!$D$41^4*Sheet!$D$32^2*Sheet!$F$25^2*B52^2*Sheet!$D$13*0.001*Sheet!$D$11*2*Sheet!$F$35*Sheet!$D$43*PI())/(144*10^8*Sheet!$D$65)</f>
        <v>26.708215666835699</v>
      </c>
      <c r="E52" s="131">
        <f>A52^3*Sheet!$D$75/2*Sheet!$D$7^2/4*PI()*Sheet!$D$76/100</f>
        <v>673.06848231630511</v>
      </c>
      <c r="F52" s="131">
        <f t="shared" si="0"/>
        <v>646.36026664946939</v>
      </c>
      <c r="G52" s="131">
        <f>IF(F52=0,0,SQRT((C52^2+2*F52*Sheet!$F$67)/(2*Sheet!$F$67^2)-SQRT((C52^2+2*F52*Sheet!$F$67)^2/(4*Sheet!$F$67^4)-(F52^2/Sheet!$F$67^2))))</f>
        <v>2.7300735406138532</v>
      </c>
      <c r="H52" s="131">
        <f>G52^2*Sheet!$F$67</f>
        <v>12.000378752375038</v>
      </c>
      <c r="I52" s="131">
        <f>G52*Sheet!$D$77</f>
        <v>3.2760882487366239</v>
      </c>
      <c r="J52" s="131">
        <f t="shared" si="1"/>
        <v>631.08379964835774</v>
      </c>
      <c r="K52" s="131">
        <f t="shared" si="2"/>
        <v>1.8393741270553356E-2</v>
      </c>
      <c r="L52" s="131">
        <f t="shared" si="3"/>
        <v>101.68601106554189</v>
      </c>
    </row>
    <row r="53" spans="1:12" x14ac:dyDescent="0.2">
      <c r="A53" s="131">
        <v>4.8999999999999986</v>
      </c>
      <c r="B53" s="131">
        <f>Sheet!$D$5*A53*60/(Sheet!$D$7*PI())</f>
        <v>109.18029096104019</v>
      </c>
      <c r="C53" s="131">
        <f>MAX((Sheet!$F$35*(SQRT(Sheet!$D$33)*SQRT(2))*(2*Sheet!$D$32*Sheet!$F$25*B53/60*Sheet!$D$30/1000*Sheet!$D$31/1000)*(Sheet!$D$11/Sheet!$D$33))-1.4,0)</f>
        <v>237.22999999999993</v>
      </c>
      <c r="D53" s="131">
        <f>(Sheet!$D$41^4*Sheet!$D$32^2*Sheet!$F$25^2*B53^2*Sheet!$D$13*0.001*Sheet!$D$11*2*Sheet!$F$35*Sheet!$D$43*PI())/(144*10^8*Sheet!$D$65)</f>
        <v>27.832650093781478</v>
      </c>
      <c r="E53" s="131">
        <f>A53^3*Sheet!$D$75/2*Sheet!$D$7^2/4*PI()*Sheet!$D$76/100</f>
        <v>716.01773976445838</v>
      </c>
      <c r="F53" s="131">
        <f t="shared" si="0"/>
        <v>688.18508967067692</v>
      </c>
      <c r="G53" s="131">
        <f>IF(F53=0,0,SQRT((C53^2+2*F53*Sheet!$F$67)/(2*Sheet!$F$67^2)-SQRT((C53^2+2*F53*Sheet!$F$67)^2/(4*Sheet!$F$67^4)-(F53^2/Sheet!$F$67^2))))</f>
        <v>2.8459486789650184</v>
      </c>
      <c r="H53" s="131">
        <f>G53^2*Sheet!$F$67</f>
        <v>13.040684559865857</v>
      </c>
      <c r="I53" s="131">
        <f>G53*Sheet!$D$77</f>
        <v>3.4151384147580219</v>
      </c>
      <c r="J53" s="131">
        <f t="shared" si="1"/>
        <v>671.72926669605295</v>
      </c>
      <c r="K53" s="131">
        <f t="shared" si="2"/>
        <v>1.7991361348413649E-2</v>
      </c>
      <c r="L53" s="131">
        <f t="shared" si="3"/>
        <v>105.86743793719845</v>
      </c>
    </row>
    <row r="54" spans="1:12" x14ac:dyDescent="0.2">
      <c r="A54" s="131">
        <v>4.9999999999999982</v>
      </c>
      <c r="B54" s="131">
        <f>Sheet!$D$5*A54*60/(Sheet!$D$7*PI())</f>
        <v>111.4084601643267</v>
      </c>
      <c r="C54" s="131">
        <f>MAX((Sheet!$F$35*(SQRT(Sheet!$D$33)*SQRT(2))*(2*Sheet!$D$32*Sheet!$F$25*B54/60*Sheet!$D$30/1000*Sheet!$D$31/1000)*(Sheet!$D$11/Sheet!$D$33))-1.4,0)</f>
        <v>242.09999999999994</v>
      </c>
      <c r="D54" s="131">
        <f>(Sheet!$D$41^4*Sheet!$D$32^2*Sheet!$F$25^2*B54^2*Sheet!$D$13*0.001*Sheet!$D$11*2*Sheet!$F$35*Sheet!$D$43*PI())/(144*10^8*Sheet!$D$65)</f>
        <v>28.980268735715811</v>
      </c>
      <c r="E54" s="131">
        <f>A54^3*Sheet!$D$75/2*Sheet!$D$7^2/4*PI()*Sheet!$D$76/100</f>
        <v>760.75629602085246</v>
      </c>
      <c r="F54" s="131">
        <f t="shared" si="0"/>
        <v>731.77602728513671</v>
      </c>
      <c r="G54" s="131">
        <f>IF(F54=0,0,SQRT((C54^2+2*F54*Sheet!$F$67)/(2*Sheet!$F$67^2)-SQRT((C54^2+2*F54*Sheet!$F$67)^2/(4*Sheet!$F$67^4)-(F54^2/Sheet!$F$67^2))))</f>
        <v>2.9641853278043837</v>
      </c>
      <c r="H54" s="131">
        <f>G54^2*Sheet!$F$67</f>
        <v>14.146759423726834</v>
      </c>
      <c r="I54" s="131">
        <f>G54*Sheet!$D$77</f>
        <v>3.5570223933652603</v>
      </c>
      <c r="J54" s="131">
        <f t="shared" si="1"/>
        <v>714.07224546804457</v>
      </c>
      <c r="K54" s="131">
        <f t="shared" si="2"/>
        <v>1.7561552370935044E-2</v>
      </c>
      <c r="L54" s="131">
        <f t="shared" si="3"/>
        <v>109.85230210626388</v>
      </c>
    </row>
    <row r="55" spans="1:12" x14ac:dyDescent="0.2">
      <c r="A55" s="131">
        <v>5.0999999999999979</v>
      </c>
      <c r="B55" s="131">
        <f>Sheet!$D$5*A55*60/(Sheet!$D$7*PI())</f>
        <v>113.63662936761322</v>
      </c>
      <c r="C55" s="131">
        <f>MAX((Sheet!$F$35*(SQRT(Sheet!$D$33)*SQRT(2))*(2*Sheet!$D$32*Sheet!$F$25*B55/60*Sheet!$D$30/1000*Sheet!$D$31/1000)*(Sheet!$D$11/Sheet!$D$33))-1.4,0)</f>
        <v>246.96999999999994</v>
      </c>
      <c r="D55" s="131">
        <f>(Sheet!$D$41^4*Sheet!$D$32^2*Sheet!$F$25^2*B55^2*Sheet!$D$13*0.001*Sheet!$D$11*2*Sheet!$F$35*Sheet!$D$43*PI())/(144*10^8*Sheet!$D$65)</f>
        <v>30.151071592638729</v>
      </c>
      <c r="E55" s="131">
        <f>A55^3*Sheet!$D$75/2*Sheet!$D$7^2/4*PI()*Sheet!$D$76/100</f>
        <v>807.32066738769663</v>
      </c>
      <c r="F55" s="131">
        <f t="shared" si="0"/>
        <v>777.16959579505794</v>
      </c>
      <c r="G55" s="131">
        <f>IF(F55=0,0,SQRT((C55^2+2*F55*Sheet!$F$67)/(2*Sheet!$F$67^2)-SQRT((C55^2+2*F55*Sheet!$F$67)^2/(4*Sheet!$F$67^4)-(F55^2/Sheet!$F$67^2))))</f>
        <v>3.0847808295988099</v>
      </c>
      <c r="H55" s="131">
        <f>G55^2*Sheet!$F$67</f>
        <v>15.321274309109647</v>
      </c>
      <c r="I55" s="131">
        <f>G55*Sheet!$D$77</f>
        <v>3.7017369955185719</v>
      </c>
      <c r="J55" s="131">
        <f t="shared" si="1"/>
        <v>758.14658449042975</v>
      </c>
      <c r="K55" s="131">
        <f t="shared" si="2"/>
        <v>1.710690834697124E-2</v>
      </c>
      <c r="L55" s="131">
        <f t="shared" si="3"/>
        <v>113.61320661775632</v>
      </c>
    </row>
    <row r="56" spans="1:12" x14ac:dyDescent="0.2">
      <c r="A56" s="131">
        <v>5.1999999999999975</v>
      </c>
      <c r="B56" s="131">
        <f>Sheet!$D$5*A56*60/(Sheet!$D$7*PI())</f>
        <v>115.86479857089977</v>
      </c>
      <c r="C56" s="131">
        <f>MAX((Sheet!$F$35*(SQRT(Sheet!$D$33)*SQRT(2))*(2*Sheet!$D$32*Sheet!$F$25*B56/60*Sheet!$D$30/1000*Sheet!$D$31/1000)*(Sheet!$D$11/Sheet!$D$33))-1.4,0)</f>
        <v>251.83999999999992</v>
      </c>
      <c r="D56" s="131">
        <f>(Sheet!$D$41^4*Sheet!$D$32^2*Sheet!$F$25^2*B56^2*Sheet!$D$13*0.001*Sheet!$D$11*2*Sheet!$F$35*Sheet!$D$43*PI())/(144*10^8*Sheet!$D$65)</f>
        <v>31.345058664550223</v>
      </c>
      <c r="E56" s="131">
        <f>A56^3*Sheet!$D$75/2*Sheet!$D$7^2/4*PI()*Sheet!$D$76/100</f>
        <v>855.74737016719996</v>
      </c>
      <c r="F56" s="131">
        <f t="shared" si="0"/>
        <v>824.4023115026497</v>
      </c>
      <c r="G56" s="131">
        <f>IF(F56=0,0,SQRT((C56^2+2*F56*Sheet!$F$67)/(2*Sheet!$F$67^2)-SQRT((C56^2+2*F56*Sheet!$F$67)^2/(4*Sheet!$F$67^4)-(F56^2/Sheet!$F$67^2))))</f>
        <v>3.2077325348385708</v>
      </c>
      <c r="H56" s="131">
        <f>G56^2*Sheet!$F$67</f>
        <v>16.566949928949718</v>
      </c>
      <c r="I56" s="131">
        <f>G56*Sheet!$D$77</f>
        <v>3.8492790418062848</v>
      </c>
      <c r="J56" s="131">
        <f t="shared" si="1"/>
        <v>803.98608253189366</v>
      </c>
      <c r="K56" s="131">
        <f t="shared" si="2"/>
        <v>1.6630074880049535E-2</v>
      </c>
      <c r="L56" s="131">
        <f t="shared" si="3"/>
        <v>117.12425509400215</v>
      </c>
    </row>
    <row r="57" spans="1:12" x14ac:dyDescent="0.2">
      <c r="A57" s="131">
        <v>5.2999999999999972</v>
      </c>
      <c r="B57" s="131">
        <f>Sheet!$D$5*A57*60/(Sheet!$D$7*PI())</f>
        <v>118.09296777418628</v>
      </c>
      <c r="C57" s="131">
        <f>MAX((Sheet!$F$35*(SQRT(Sheet!$D$33)*SQRT(2))*(2*Sheet!$D$32*Sheet!$F$25*B57/60*Sheet!$D$30/1000*Sheet!$D$31/1000)*(Sheet!$D$11/Sheet!$D$33))-1.4,0)</f>
        <v>256.70999999999987</v>
      </c>
      <c r="D57" s="131">
        <f>(Sheet!$D$41^4*Sheet!$D$32^2*Sheet!$F$25^2*B57^2*Sheet!$D$13*0.001*Sheet!$D$11*2*Sheet!$F$35*Sheet!$D$43*PI())/(144*10^8*Sheet!$D$65)</f>
        <v>32.56222995145027</v>
      </c>
      <c r="E57" s="131">
        <f>A57^3*Sheet!$D$75/2*Sheet!$D$7^2/4*PI()*Sheet!$D$76/100</f>
        <v>906.0729206615714</v>
      </c>
      <c r="F57" s="131">
        <f t="shared" si="0"/>
        <v>873.51069071012114</v>
      </c>
      <c r="G57" s="131">
        <f>IF(F57=0,0,SQRT((C57^2+2*F57*Sheet!$F$67)/(2*Sheet!$F$67^2)-SQRT((C57^2+2*F57*Sheet!$F$67)^2/(4*Sheet!$F$67^4)-(F57^2/Sheet!$F$67^2))))</f>
        <v>3.3330378020025528</v>
      </c>
      <c r="H57" s="131">
        <f>G57^2*Sheet!$F$67</f>
        <v>17.886556558031177</v>
      </c>
      <c r="I57" s="131">
        <f>G57*Sheet!$D$77</f>
        <v>3.9996453624030632</v>
      </c>
      <c r="J57" s="131">
        <f t="shared" si="1"/>
        <v>851.62448878968689</v>
      </c>
      <c r="K57" s="131">
        <f t="shared" si="2"/>
        <v>1.6133728860012048E-2</v>
      </c>
      <c r="L57" s="131">
        <f t="shared" si="3"/>
        <v>120.36133647186959</v>
      </c>
    </row>
    <row r="58" spans="1:12" x14ac:dyDescent="0.2">
      <c r="A58" s="131">
        <v>5.3999999999999968</v>
      </c>
      <c r="B58" s="131">
        <f>Sheet!$D$5*A58*60/(Sheet!$D$7*PI())</f>
        <v>120.3211369774728</v>
      </c>
      <c r="C58" s="131">
        <f>MAX((Sheet!$F$35*(SQRT(Sheet!$D$33)*SQRT(2))*(2*Sheet!$D$32*Sheet!$F$25*B58/60*Sheet!$D$30/1000*Sheet!$D$31/1000)*(Sheet!$D$11/Sheet!$D$33))-1.4,0)</f>
        <v>261.57999999999993</v>
      </c>
      <c r="D58" s="131">
        <f>(Sheet!$D$41^4*Sheet!$D$32^2*Sheet!$F$25^2*B58^2*Sheet!$D$13*0.001*Sheet!$D$11*2*Sheet!$F$35*Sheet!$D$43*PI())/(144*10^8*Sheet!$D$65)</f>
        <v>33.802585453338907</v>
      </c>
      <c r="E58" s="131">
        <f>A58^3*Sheet!$D$75/2*Sheet!$D$7^2/4*PI()*Sheet!$D$76/100</f>
        <v>958.33383517301945</v>
      </c>
      <c r="F58" s="131">
        <f t="shared" si="0"/>
        <v>924.53124971968055</v>
      </c>
      <c r="G58" s="131">
        <f>IF(F58=0,0,SQRT((C58^2+2*F58*Sheet!$F$67)/(2*Sheet!$F$67^2)-SQRT((C58^2+2*F58*Sheet!$F$67)^2/(4*Sheet!$F$67^4)-(F58^2/Sheet!$F$67^2))))</f>
        <v>3.460693997521243</v>
      </c>
      <c r="H58" s="131">
        <f>G58^2*Sheet!$F$67</f>
        <v>19.282913848079808</v>
      </c>
      <c r="I58" s="131">
        <f>G58*Sheet!$D$77</f>
        <v>4.152832797025491</v>
      </c>
      <c r="J58" s="131">
        <f t="shared" si="1"/>
        <v>901.09550307457528</v>
      </c>
      <c r="K58" s="131">
        <f t="shared" si="2"/>
        <v>1.5620558501638251E-2</v>
      </c>
      <c r="L58" s="131">
        <f t="shared" si="3"/>
        <v>123.30238758693449</v>
      </c>
    </row>
    <row r="59" spans="1:12" x14ac:dyDescent="0.2">
      <c r="A59" s="131">
        <v>5.4999999999999964</v>
      </c>
      <c r="B59" s="131">
        <f>Sheet!$D$5*A59*60/(Sheet!$D$7*PI())</f>
        <v>122.54930618075932</v>
      </c>
      <c r="C59" s="131">
        <f>MAX((Sheet!$F$35*(SQRT(Sheet!$D$33)*SQRT(2))*(2*Sheet!$D$32*Sheet!$F$25*B59/60*Sheet!$D$30/1000*Sheet!$D$31/1000)*(Sheet!$D$11/Sheet!$D$33))-1.4,0)</f>
        <v>266.44999999999982</v>
      </c>
      <c r="D59" s="131">
        <f>(Sheet!$D$41^4*Sheet!$D$32^2*Sheet!$F$25^2*B59^2*Sheet!$D$13*0.001*Sheet!$D$11*2*Sheet!$F$35*Sheet!$D$43*PI())/(144*10^8*Sheet!$D$65)</f>
        <v>35.066125170216097</v>
      </c>
      <c r="E59" s="131">
        <f>A59^3*Sheet!$D$75/2*Sheet!$D$7^2/4*PI()*Sheet!$D$76/100</f>
        <v>1012.5666300037539</v>
      </c>
      <c r="F59" s="131">
        <f t="shared" si="0"/>
        <v>977.50050483353778</v>
      </c>
      <c r="G59" s="131">
        <f>IF(F59=0,0,SQRT((C59^2+2*F59*Sheet!$F$67)/(2*Sheet!$F$67^2)-SQRT((C59^2+2*F59*Sheet!$F$67)^2/(4*Sheet!$F$67^4)-(F59^2/Sheet!$F$67^2))))</f>
        <v>3.5906984957389936</v>
      </c>
      <c r="H59" s="131">
        <f>G59^2*Sheet!$F$67</f>
        <v>20.758890643886872</v>
      </c>
      <c r="I59" s="131">
        <f>G59*Sheet!$D$77</f>
        <v>4.3088381948867918</v>
      </c>
      <c r="J59" s="131">
        <f t="shared" si="1"/>
        <v>952.43277599476414</v>
      </c>
      <c r="K59" s="131">
        <f t="shared" si="2"/>
        <v>1.5093243922196613E-2</v>
      </c>
      <c r="L59" s="131">
        <f t="shared" si="3"/>
        <v>125.92762981843427</v>
      </c>
    </row>
    <row r="60" spans="1:12" x14ac:dyDescent="0.2">
      <c r="A60" s="131">
        <v>5.5999999999999961</v>
      </c>
      <c r="B60" s="131">
        <f>Sheet!$D$5*A60*60/(Sheet!$D$7*PI())</f>
        <v>124.77747538404587</v>
      </c>
      <c r="C60" s="131">
        <f>MAX((Sheet!$F$35*(SQRT(Sheet!$D$33)*SQRT(2))*(2*Sheet!$D$32*Sheet!$F$25*B60/60*Sheet!$D$30/1000*Sheet!$D$31/1000)*(Sheet!$D$11/Sheet!$D$33))-1.4,0)</f>
        <v>271.31999999999982</v>
      </c>
      <c r="D60" s="131">
        <f>(Sheet!$D$41^4*Sheet!$D$32^2*Sheet!$F$25^2*B60^2*Sheet!$D$13*0.001*Sheet!$D$11*2*Sheet!$F$35*Sheet!$D$43*PI())/(144*10^8*Sheet!$D$65)</f>
        <v>36.352849102081898</v>
      </c>
      <c r="E60" s="131">
        <f>A60^3*Sheet!$D$75/2*Sheet!$D$7^2/4*PI()*Sheet!$D$76/100</f>
        <v>1068.8078214559832</v>
      </c>
      <c r="F60" s="131">
        <f t="shared" si="0"/>
        <v>1032.4549723539014</v>
      </c>
      <c r="G60" s="131">
        <f>IF(F60=0,0,SQRT((C60^2+2*F60*Sheet!$F$67)/(2*Sheet!$F$67^2)-SQRT((C60^2+2*F60*Sheet!$F$67)^2/(4*Sheet!$F$67^4)-(F60^2/Sheet!$F$67^2))))</f>
        <v>3.7230486788788832</v>
      </c>
      <c r="H60" s="131">
        <f>G60^2*Sheet!$F$67</f>
        <v>22.317404800493183</v>
      </c>
      <c r="I60" s="131">
        <f>G60*Sheet!$D$77</f>
        <v>4.4676584146546601</v>
      </c>
      <c r="J60" s="131">
        <f t="shared" si="1"/>
        <v>1005.6699091387536</v>
      </c>
      <c r="K60" s="131">
        <f t="shared" si="2"/>
        <v>1.4554438438780787E-2</v>
      </c>
      <c r="L60" s="131">
        <f t="shared" si="3"/>
        <v>128.21977645289769</v>
      </c>
    </row>
    <row r="61" spans="1:12" x14ac:dyDescent="0.2">
      <c r="A61" s="131">
        <v>5.6999999999999957</v>
      </c>
      <c r="B61" s="131">
        <f>Sheet!$D$5*A61*60/(Sheet!$D$7*PI())</f>
        <v>127.00564458733238</v>
      </c>
      <c r="C61" s="131">
        <f>MAX((Sheet!$F$35*(SQRT(Sheet!$D$33)*SQRT(2))*(2*Sheet!$D$32*Sheet!$F$25*B61/60*Sheet!$D$30/1000*Sheet!$D$31/1000)*(Sheet!$D$11/Sheet!$D$33))-1.4,0)</f>
        <v>276.18999999999983</v>
      </c>
      <c r="D61" s="131">
        <f>(Sheet!$D$41^4*Sheet!$D$32^2*Sheet!$F$25^2*B61^2*Sheet!$D$13*0.001*Sheet!$D$11*2*Sheet!$F$35*Sheet!$D$43*PI())/(144*10^8*Sheet!$D$65)</f>
        <v>37.662757248936245</v>
      </c>
      <c r="E61" s="131">
        <f>A61^3*Sheet!$D$75/2*Sheet!$D$7^2/4*PI()*Sheet!$D$76/100</f>
        <v>1127.0939258319165</v>
      </c>
      <c r="F61" s="131">
        <f t="shared" si="0"/>
        <v>1089.4311685829803</v>
      </c>
      <c r="G61" s="131">
        <f>IF(F61=0,0,SQRT((C61^2+2*F61*Sheet!$F$67)/(2*Sheet!$F$67^2)-SQRT((C61^2+2*F61*Sheet!$F$67)^2/(4*Sheet!$F$67^4)-(F61^2/Sheet!$F$67^2))))</f>
        <v>3.857741937005724</v>
      </c>
      <c r="H61" s="131">
        <f>G61^2*Sheet!$F$67</f>
        <v>23.961423001377657</v>
      </c>
      <c r="I61" s="131">
        <f>G61*Sheet!$D$77</f>
        <v>4.6292903244068686</v>
      </c>
      <c r="J61" s="131">
        <f t="shared" si="1"/>
        <v>1060.8404552571958</v>
      </c>
      <c r="K61" s="131">
        <f t="shared" si="2"/>
        <v>1.4006750752988073E-2</v>
      </c>
      <c r="L61" s="131">
        <f t="shared" si="3"/>
        <v>130.16420792635171</v>
      </c>
    </row>
    <row r="62" spans="1:12" x14ac:dyDescent="0.2">
      <c r="A62" s="131">
        <v>5.7999999999999954</v>
      </c>
      <c r="B62" s="131">
        <f>Sheet!$D$5*A62*60/(Sheet!$D$7*PI())</f>
        <v>129.23381379061891</v>
      </c>
      <c r="C62" s="131">
        <f>MAX((Sheet!$F$35*(SQRT(Sheet!$D$33)*SQRT(2))*(2*Sheet!$D$32*Sheet!$F$25*B62/60*Sheet!$D$30/1000*Sheet!$D$31/1000)*(Sheet!$D$11/Sheet!$D$33))-1.4,0)</f>
        <v>281.05999999999977</v>
      </c>
      <c r="D62" s="131">
        <f>(Sheet!$D$41^4*Sheet!$D$32^2*Sheet!$F$25^2*B62^2*Sheet!$D$13*0.001*Sheet!$D$11*2*Sheet!$F$35*Sheet!$D$43*PI())/(144*10^8*Sheet!$D$65)</f>
        <v>38.995849610779153</v>
      </c>
      <c r="E62" s="131">
        <f>A62^3*Sheet!$D$75/2*Sheet!$D$7^2/4*PI()*Sheet!$D$76/100</f>
        <v>1187.4614594337627</v>
      </c>
      <c r="F62" s="131">
        <f t="shared" si="0"/>
        <v>1148.4656098229834</v>
      </c>
      <c r="G62" s="131">
        <f>IF(F62=0,0,SQRT((C62^2+2*F62*Sheet!$F$67)/(2*Sheet!$F$67^2)-SQRT((C62^2+2*F62*Sheet!$F$67)^2/(4*Sheet!$F$67^4)-(F62^2/Sheet!$F$67^2))))</f>
        <v>3.994775667990099</v>
      </c>
      <c r="H62" s="131">
        <f>G62^2*Sheet!$F$67</f>
        <v>25.693960577673909</v>
      </c>
      <c r="I62" s="131">
        <f>G62*Sheet!$D$77</f>
        <v>4.7937308015881186</v>
      </c>
      <c r="J62" s="131">
        <f t="shared" si="1"/>
        <v>1117.9779184437216</v>
      </c>
      <c r="K62" s="131">
        <f t="shared" si="2"/>
        <v>1.3452728175249364E-2</v>
      </c>
      <c r="L62" s="131">
        <f t="shared" si="3"/>
        <v>131.74911265452931</v>
      </c>
    </row>
    <row r="63" spans="1:12" x14ac:dyDescent="0.2">
      <c r="A63" s="131">
        <v>5.899999999999995</v>
      </c>
      <c r="B63" s="131">
        <f>Sheet!$D$5*A63*60/(Sheet!$D$7*PI())</f>
        <v>131.46198299390545</v>
      </c>
      <c r="C63" s="131">
        <f>MAX((Sheet!$F$35*(SQRT(Sheet!$D$33)*SQRT(2))*(2*Sheet!$D$32*Sheet!$F$25*B63/60*Sheet!$D$30/1000*Sheet!$D$31/1000)*(Sheet!$D$11/Sheet!$D$33))-1.4,0)</f>
        <v>285.92999999999984</v>
      </c>
      <c r="D63" s="131">
        <f>(Sheet!$D$41^4*Sheet!$D$32^2*Sheet!$F$25^2*B63^2*Sheet!$D$13*0.001*Sheet!$D$11*2*Sheet!$F$35*Sheet!$D$43*PI())/(144*10^8*Sheet!$D$65)</f>
        <v>40.352126187610672</v>
      </c>
      <c r="E63" s="131">
        <f>A63^3*Sheet!$D$75/2*Sheet!$D$7^2/4*PI()*Sheet!$D$76/100</f>
        <v>1249.9469385637315</v>
      </c>
      <c r="F63" s="131">
        <f t="shared" si="0"/>
        <v>1209.5948123761209</v>
      </c>
      <c r="G63" s="131">
        <f>IF(F63=0,0,SQRT((C63^2+2*F63*Sheet!$F$67)/(2*Sheet!$F$67^2)-SQRT((C63^2+2*F63*Sheet!$F$67)^2/(4*Sheet!$F$67^4)-(F63^2/Sheet!$F$67^2))))</f>
        <v>4.1341472774729189</v>
      </c>
      <c r="H63" s="131">
        <f>G63^2*Sheet!$F$67</f>
        <v>27.518081328403056</v>
      </c>
      <c r="I63" s="131">
        <f>G63*Sheet!$D$77</f>
        <v>4.9609767329675023</v>
      </c>
      <c r="J63" s="131">
        <f t="shared" si="1"/>
        <v>1177.1157543147503</v>
      </c>
      <c r="K63" s="131">
        <f t="shared" si="2"/>
        <v>1.2894841024201919E-2</v>
      </c>
      <c r="L63" s="131">
        <f t="shared" si="3"/>
        <v>132.96559174619674</v>
      </c>
    </row>
    <row r="64" spans="1:12" x14ac:dyDescent="0.2">
      <c r="A64" s="131">
        <v>5.9999999999999947</v>
      </c>
      <c r="B64" s="131">
        <f>Sheet!$D$5*A64*60/(Sheet!$D$7*PI())</f>
        <v>133.69015219719196</v>
      </c>
      <c r="C64" s="131">
        <f>MAX((Sheet!$F$35*(SQRT(Sheet!$D$33)*SQRT(2))*(2*Sheet!$D$32*Sheet!$F$25*B64/60*Sheet!$D$30/1000*Sheet!$D$31/1000)*(Sheet!$D$11/Sheet!$D$33))-1.4,0)</f>
        <v>290.79999999999967</v>
      </c>
      <c r="D64" s="131">
        <f>(Sheet!$D$41^4*Sheet!$D$32^2*Sheet!$F$25^2*B64^2*Sheet!$D$13*0.001*Sheet!$D$11*2*Sheet!$F$35*Sheet!$D$43*PI())/(144*10^8*Sheet!$D$65)</f>
        <v>41.73158697943073</v>
      </c>
      <c r="E64" s="131">
        <f>A64^3*Sheet!$D$75/2*Sheet!$D$7^2/4*PI()*Sheet!$D$76/100</f>
        <v>1314.5868795240312</v>
      </c>
      <c r="F64" s="131">
        <f t="shared" si="0"/>
        <v>1272.8552925446006</v>
      </c>
      <c r="G64" s="131">
        <f>IF(F64=0,0,SQRT((C64^2+2*F64*Sheet!$F$67)/(2*Sheet!$F$67^2)-SQRT((C64^2+2*F64*Sheet!$F$67)^2/(4*Sheet!$F$67^4)-(F64^2/Sheet!$F$67^2))))</f>
        <v>4.2758541788271271</v>
      </c>
      <c r="H64" s="131">
        <f>G64^2*Sheet!$F$67</f>
        <v>29.436897341670079</v>
      </c>
      <c r="I64" s="131">
        <f>G64*Sheet!$D$77</f>
        <v>5.1310250145925522</v>
      </c>
      <c r="J64" s="131">
        <f t="shared" si="1"/>
        <v>1238.2873701883379</v>
      </c>
      <c r="K64" s="131">
        <f t="shared" si="2"/>
        <v>1.2335468318214804E-2</v>
      </c>
      <c r="L64" s="131">
        <f t="shared" si="3"/>
        <v>133.80772650452101</v>
      </c>
    </row>
    <row r="65" spans="1:12" x14ac:dyDescent="0.2">
      <c r="A65" s="131">
        <v>6.0999999999999943</v>
      </c>
      <c r="B65" s="131">
        <f>Sheet!$D$5*A65*60/(Sheet!$D$7*PI())</f>
        <v>135.9183214004785</v>
      </c>
      <c r="C65" s="131">
        <f>MAX((Sheet!$F$35*(SQRT(Sheet!$D$33)*SQRT(2))*(2*Sheet!$D$32*Sheet!$F$25*B65/60*Sheet!$D$30/1000*Sheet!$D$31/1000)*(Sheet!$D$11/Sheet!$D$33))-1.4,0)</f>
        <v>295.66999999999985</v>
      </c>
      <c r="D65" s="131">
        <f>(Sheet!$D$41^4*Sheet!$D$32^2*Sheet!$F$25^2*B65^2*Sheet!$D$13*0.001*Sheet!$D$11*2*Sheet!$F$35*Sheet!$D$43*PI())/(144*10^8*Sheet!$D$65)</f>
        <v>43.134231986239371</v>
      </c>
      <c r="E65" s="131">
        <f>A65^3*Sheet!$D$75/2*Sheet!$D$7^2/4*PI()*Sheet!$D$76/100</f>
        <v>1381.4177986168706</v>
      </c>
      <c r="F65" s="131">
        <f t="shared" si="0"/>
        <v>1338.2835666306312</v>
      </c>
      <c r="G65" s="131">
        <f>IF(F65=0,0,SQRT((C65^2+2*F65*Sheet!$F$67)/(2*Sheet!$F$67^2)-SQRT((C65^2+2*F65*Sheet!$F$67)^2/(4*Sheet!$F$67^4)-(F65^2/Sheet!$F$67^2))))</f>
        <v>4.4198937931264037</v>
      </c>
      <c r="H65" s="131">
        <f>G65^2*Sheet!$F$67</f>
        <v>31.453568816946785</v>
      </c>
      <c r="I65" s="131">
        <f>G65*Sheet!$D$77</f>
        <v>5.3038725517516845</v>
      </c>
      <c r="J65" s="131">
        <f t="shared" si="1"/>
        <v>1301.5261252619327</v>
      </c>
      <c r="K65" s="131">
        <f t="shared" si="2"/>
        <v>1.1776884856848791E-2</v>
      </c>
      <c r="L65" s="131">
        <f t="shared" si="3"/>
        <v>134.27260824281939</v>
      </c>
    </row>
    <row r="66" spans="1:12" x14ac:dyDescent="0.2">
      <c r="A66" s="131">
        <v>6.199999999999994</v>
      </c>
      <c r="B66" s="131">
        <f>Sheet!$D$5*A66*60/(Sheet!$D$7*PI())</f>
        <v>138.14649060376502</v>
      </c>
      <c r="C66" s="131">
        <f>MAX((Sheet!$F$35*(SQRT(Sheet!$D$33)*SQRT(2))*(2*Sheet!$D$32*Sheet!$F$25*B66/60*Sheet!$D$30/1000*Sheet!$D$31/1000)*(Sheet!$D$11/Sheet!$D$33))-1.4,0)</f>
        <v>300.53999999999968</v>
      </c>
      <c r="D66" s="131">
        <f>(Sheet!$D$41^4*Sheet!$D$32^2*Sheet!$F$25^2*B66^2*Sheet!$D$13*0.001*Sheet!$D$11*2*Sheet!$F$35*Sheet!$D$43*PI())/(144*10^8*Sheet!$D$65)</f>
        <v>44.560061208036586</v>
      </c>
      <c r="E66" s="131">
        <f>A66^3*Sheet!$D$75/2*Sheet!$D$7^2/4*PI()*Sheet!$D$76/100</f>
        <v>1450.4762121444592</v>
      </c>
      <c r="F66" s="131">
        <f t="shared" si="0"/>
        <v>1405.9161509364226</v>
      </c>
      <c r="G66" s="131">
        <f>IF(F66=0,0,SQRT((C66^2+2*F66*Sheet!$F$67)/(2*Sheet!$F$67^2)-SQRT((C66^2+2*F66*Sheet!$F$67)^2/(4*Sheet!$F$67^4)-(F66^2/Sheet!$F$67^2))))</f>
        <v>4.566263549105317</v>
      </c>
      <c r="H66" s="131">
        <f>G66^2*Sheet!$F$67</f>
        <v>33.571303888227447</v>
      </c>
      <c r="I66" s="131">
        <f>G66*Sheet!$D$77</f>
        <v>5.4795162589263802</v>
      </c>
      <c r="J66" s="131">
        <f t="shared" si="1"/>
        <v>1366.8653307892687</v>
      </c>
      <c r="K66" s="131">
        <f t="shared" si="2"/>
        <v>1.1221249769988926E-2</v>
      </c>
      <c r="L66" s="131">
        <f t="shared" si="3"/>
        <v>134.36033056163029</v>
      </c>
    </row>
    <row r="67" spans="1:12" x14ac:dyDescent="0.2">
      <c r="A67" s="131">
        <v>6.2999999999999936</v>
      </c>
      <c r="B67" s="131">
        <f>Sheet!$D$5*A67*60/(Sheet!$D$7*PI())</f>
        <v>140.37465980705156</v>
      </c>
      <c r="C67" s="131">
        <f>MAX((Sheet!$F$35*(SQRT(Sheet!$D$33)*SQRT(2))*(2*Sheet!$D$32*Sheet!$F$25*B67/60*Sheet!$D$30/1000*Sheet!$D$31/1000)*(Sheet!$D$11/Sheet!$D$33))-1.4,0)</f>
        <v>305.40999999999974</v>
      </c>
      <c r="D67" s="131">
        <f>(Sheet!$D$41^4*Sheet!$D$32^2*Sheet!$F$25^2*B67^2*Sheet!$D$13*0.001*Sheet!$D$11*2*Sheet!$F$35*Sheet!$D$43*PI())/(144*10^8*Sheet!$D$65)</f>
        <v>46.009074644822384</v>
      </c>
      <c r="E67" s="131">
        <f>A67^3*Sheet!$D$75/2*Sheet!$D$7^2/4*PI()*Sheet!$D$76/100</f>
        <v>1521.7986364090057</v>
      </c>
      <c r="F67" s="131">
        <f t="shared" si="0"/>
        <v>1475.7895617641832</v>
      </c>
      <c r="G67" s="131">
        <f>IF(F67=0,0,SQRT((C67^2+2*F67*Sheet!$F$67)/(2*Sheet!$F$67^2)-SQRT((C67^2+2*F67*Sheet!$F$67)^2/(4*Sheet!$F$67^4)-(F67^2/Sheet!$F$67^2))))</f>
        <v>4.7149608831275627</v>
      </c>
      <c r="H67" s="131">
        <f>G67^2*Sheet!$F$67</f>
        <v>35.793358448274034</v>
      </c>
      <c r="I67" s="131">
        <f>G67*Sheet!$D$77</f>
        <v>5.6579530597530754</v>
      </c>
      <c r="J67" s="131">
        <f t="shared" si="1"/>
        <v>1434.338250256156</v>
      </c>
      <c r="K67" s="131">
        <f t="shared" si="2"/>
        <v>1.0670596591958754E-2</v>
      </c>
      <c r="L67" s="131">
        <f t="shared" si="3"/>
        <v>134.07394484131893</v>
      </c>
    </row>
    <row r="68" spans="1:12" x14ac:dyDescent="0.2">
      <c r="A68" s="131">
        <v>6.3999999999999932</v>
      </c>
      <c r="B68" s="131">
        <f>Sheet!$D$5*A68*60/(Sheet!$D$7*PI())</f>
        <v>142.60282901033807</v>
      </c>
      <c r="C68" s="131">
        <f>MAX((Sheet!$F$35*(SQRT(Sheet!$D$33)*SQRT(2))*(2*Sheet!$D$32*Sheet!$F$25*B68/60*Sheet!$D$30/1000*Sheet!$D$31/1000)*(Sheet!$D$11/Sheet!$D$33))-1.4,0)</f>
        <v>310.27999999999969</v>
      </c>
      <c r="D68" s="131">
        <f>(Sheet!$D$41^4*Sheet!$D$32^2*Sheet!$F$25^2*B68^2*Sheet!$D$13*0.001*Sheet!$D$11*2*Sheet!$F$35*Sheet!$D$43*PI())/(144*10^8*Sheet!$D$65)</f>
        <v>47.481272296596728</v>
      </c>
      <c r="E68" s="131">
        <f>A68^3*Sheet!$D$75/2*Sheet!$D$7^2/4*PI()*Sheet!$D$76/100</f>
        <v>1595.4215877127199</v>
      </c>
      <c r="F68" s="131">
        <f t="shared" si="0"/>
        <v>1547.9403154161232</v>
      </c>
      <c r="G68" s="131">
        <f>IF(F68=0,0,SQRT((C68^2+2*F68*Sheet!$F$67)/(2*Sheet!$F$67^2)-SQRT((C68^2+2*F68*Sheet!$F$67)^2/(4*Sheet!$F$67^4)-(F68^2/Sheet!$F$67^2))))</f>
        <v>4.8659832391466749</v>
      </c>
      <c r="H68" s="131">
        <f>G68^2*Sheet!$F$67</f>
        <v>38.123035973725209</v>
      </c>
      <c r="I68" s="131">
        <f>G68*Sheet!$D$77</f>
        <v>5.8391798869760096</v>
      </c>
      <c r="J68" s="131">
        <f t="shared" si="1"/>
        <v>1503.9780995554222</v>
      </c>
      <c r="K68" s="131">
        <f t="shared" si="2"/>
        <v>1.0126824897439327E-2</v>
      </c>
      <c r="L68" s="131">
        <f t="shared" si="3"/>
        <v>133.41938028672448</v>
      </c>
    </row>
    <row r="69" spans="1:12" x14ac:dyDescent="0.2">
      <c r="A69" s="131">
        <v>6.4999999999999929</v>
      </c>
      <c r="B69" s="131">
        <f>Sheet!$D$5*A69*60/(Sheet!$D$7*PI())</f>
        <v>144.83099821362458</v>
      </c>
      <c r="C69" s="131">
        <f>MAX((Sheet!$F$35*(SQRT(Sheet!$D$33)*SQRT(2))*(2*Sheet!$D$32*Sheet!$F$25*B69/60*Sheet!$D$30/1000*Sheet!$D$31/1000)*(Sheet!$D$11/Sheet!$D$33))-1.4,0)</f>
        <v>315.14999999999969</v>
      </c>
      <c r="D69" s="131">
        <f>(Sheet!$D$41^4*Sheet!$D$32^2*Sheet!$F$25^2*B69^2*Sheet!$D$13*0.001*Sheet!$D$11*2*Sheet!$F$35*Sheet!$D$43*PI())/(144*10^8*Sheet!$D$65)</f>
        <v>48.97665416335964</v>
      </c>
      <c r="E69" s="131">
        <f>A69^3*Sheet!$D$75/2*Sheet!$D$7^2/4*PI()*Sheet!$D$76/100</f>
        <v>1671.3815823578088</v>
      </c>
      <c r="F69" s="131">
        <f t="shared" ref="F69:F124" si="4">MAX(E69-D69,0)</f>
        <v>1622.4049281944492</v>
      </c>
      <c r="G69" s="131">
        <f>IF(F69=0,0,SQRT((C69^2+2*F69*Sheet!$F$67)/(2*Sheet!$F$67^2)-SQRT((C69^2+2*F69*Sheet!$F$67)^2/(4*Sheet!$F$67^4)-(F69^2/Sheet!$F$67^2))))</f>
        <v>5.019328068675593</v>
      </c>
      <c r="H69" s="131">
        <f>G69^2*Sheet!$F$67</f>
        <v>40.563687351300928</v>
      </c>
      <c r="I69" s="131">
        <f>G69*Sheet!$D$77</f>
        <v>6.0231936824107111</v>
      </c>
      <c r="J69" s="131">
        <f t="shared" ref="J69:J124" si="5">F69-H69-I69</f>
        <v>1575.8180471607375</v>
      </c>
      <c r="K69" s="131">
        <f t="shared" ref="K69:K124" si="6">$L$2/$K$2*(A69/$K$2)^($L$2-1)*EXP(-((A69/$K$2)^($L$2)))/10</f>
        <v>9.591693515792591E-3</v>
      </c>
      <c r="L69" s="131">
        <f t="shared" ref="L69:L124" si="7">J69*K69*365*24/1000</f>
        <v>132.40533040638036</v>
      </c>
    </row>
    <row r="70" spans="1:12" x14ac:dyDescent="0.2">
      <c r="A70" s="131">
        <v>6.5999999999999925</v>
      </c>
      <c r="B70" s="131">
        <f>Sheet!$D$5*A70*60/(Sheet!$D$7*PI())</f>
        <v>147.05916741691112</v>
      </c>
      <c r="C70" s="131">
        <f>MAX((Sheet!$F$35*(SQRT(Sheet!$D$33)*SQRT(2))*(2*Sheet!$D$32*Sheet!$F$25*B70/60*Sheet!$D$30/1000*Sheet!$D$31/1000)*(Sheet!$D$11/Sheet!$D$33))-1.4,0)</f>
        <v>320.0199999999997</v>
      </c>
      <c r="D70" s="131">
        <f>(Sheet!$D$41^4*Sheet!$D$32^2*Sheet!$F$25^2*B70^2*Sheet!$D$13*0.001*Sheet!$D$11*2*Sheet!$F$35*Sheet!$D$43*PI())/(144*10^8*Sheet!$D$65)</f>
        <v>50.495220245111149</v>
      </c>
      <c r="E70" s="131">
        <f>A70^3*Sheet!$D$75/2*Sheet!$D$7^2/4*PI()*Sheet!$D$76/100</f>
        <v>1749.7151366464841</v>
      </c>
      <c r="F70" s="131">
        <f t="shared" si="4"/>
        <v>1699.219916401373</v>
      </c>
      <c r="G70" s="131">
        <f>IF(F70=0,0,SQRT((C70^2+2*F70*Sheet!$F$67)/(2*Sheet!$F$67^2)-SQRT((C70^2+2*F70*Sheet!$F$67)^2/(4*Sheet!$F$67^4)-(F70^2/Sheet!$F$67^2))))</f>
        <v>5.1749928307496509</v>
      </c>
      <c r="H70" s="131">
        <f>G70^2*Sheet!$F$67</f>
        <v>43.11871070486788</v>
      </c>
      <c r="I70" s="131">
        <f>G70*Sheet!$D$77</f>
        <v>6.2099913968995812</v>
      </c>
      <c r="J70" s="131">
        <f t="shared" si="5"/>
        <v>1649.8912142996055</v>
      </c>
      <c r="K70" s="131">
        <f t="shared" si="6"/>
        <v>9.0668153207299623E-3</v>
      </c>
      <c r="L70" s="131">
        <f t="shared" si="7"/>
        <v>131.04310830870097</v>
      </c>
    </row>
    <row r="71" spans="1:12" x14ac:dyDescent="0.2">
      <c r="A71" s="131">
        <v>6.6999999999999922</v>
      </c>
      <c r="B71" s="131">
        <f>Sheet!$D$5*A71*60/(Sheet!$D$7*PI())</f>
        <v>149.28733662019766</v>
      </c>
      <c r="C71" s="131">
        <f>MAX((Sheet!$F$35*(SQRT(Sheet!$D$33)*SQRT(2))*(2*Sheet!$D$32*Sheet!$F$25*B71/60*Sheet!$D$30/1000*Sheet!$D$31/1000)*(Sheet!$D$11/Sheet!$D$33))-1.4,0)</f>
        <v>324.8899999999997</v>
      </c>
      <c r="D71" s="131">
        <f>(Sheet!$D$41^4*Sheet!$D$32^2*Sheet!$F$25^2*B71^2*Sheet!$D$13*0.001*Sheet!$D$11*2*Sheet!$F$35*Sheet!$D$43*PI())/(144*10^8*Sheet!$D$65)</f>
        <v>52.03697054185124</v>
      </c>
      <c r="E71" s="131">
        <f>A71^3*Sheet!$D$75/2*Sheet!$D$7^2/4*PI()*Sheet!$D$76/100</f>
        <v>1830.4587668809527</v>
      </c>
      <c r="F71" s="131">
        <f t="shared" si="4"/>
        <v>1778.4217963391015</v>
      </c>
      <c r="G71" s="131">
        <f>IF(F71=0,0,SQRT((C71^2+2*F71*Sheet!$F$67)/(2*Sheet!$F$67^2)-SQRT((C71^2+2*F71*Sheet!$F$67)^2/(4*Sheet!$F$67^4)-(F71^2/Sheet!$F$67^2))))</f>
        <v>5.3329749918915788</v>
      </c>
      <c r="H71" s="131">
        <f>G71^2*Sheet!$F$67</f>
        <v>45.791551223483218</v>
      </c>
      <c r="I71" s="131">
        <f>G71*Sheet!$D$77</f>
        <v>6.3995699902698941</v>
      </c>
      <c r="J71" s="131">
        <f t="shared" si="5"/>
        <v>1726.2306751253486</v>
      </c>
      <c r="K71" s="131">
        <f t="shared" si="6"/>
        <v>8.5536535734574114E-3</v>
      </c>
      <c r="L71" s="131">
        <f t="shared" si="7"/>
        <v>129.34647364218421</v>
      </c>
    </row>
    <row r="72" spans="1:12" x14ac:dyDescent="0.2">
      <c r="A72" s="131">
        <v>6.7999999999999918</v>
      </c>
      <c r="B72" s="131">
        <f>Sheet!$D$5*A72*60/(Sheet!$D$7*PI())</f>
        <v>151.5155058234842</v>
      </c>
      <c r="C72" s="131">
        <f>MAX((Sheet!$F$35*(SQRT(Sheet!$D$33)*SQRT(2))*(2*Sheet!$D$32*Sheet!$F$25*B72/60*Sheet!$D$30/1000*Sheet!$D$31/1000)*(Sheet!$D$11/Sheet!$D$33))-1.4,0)</f>
        <v>329.75999999999965</v>
      </c>
      <c r="D72" s="131">
        <f>(Sheet!$D$41^4*Sheet!$D$32^2*Sheet!$F$25^2*B72^2*Sheet!$D$13*0.001*Sheet!$D$11*2*Sheet!$F$35*Sheet!$D$43*PI())/(144*10^8*Sheet!$D$65)</f>
        <v>53.601905053579898</v>
      </c>
      <c r="E72" s="131">
        <f>A72^3*Sheet!$D$75/2*Sheet!$D$7^2/4*PI()*Sheet!$D$76/100</f>
        <v>1913.6489893634246</v>
      </c>
      <c r="F72" s="131">
        <f t="shared" si="4"/>
        <v>1860.0470843098446</v>
      </c>
      <c r="G72" s="131">
        <f>IF(F72=0,0,SQRT((C72^2+2*F72*Sheet!$F$67)/(2*Sheet!$F$67^2)-SQRT((C72^2+2*F72*Sheet!$F$67)^2/(4*Sheet!$F$67^4)-(F72^2/Sheet!$F$67^2))))</f>
        <v>5.4932720260779018</v>
      </c>
      <c r="H72" s="131">
        <f>G72^2*Sheet!$F$67</f>
        <v>48.585700990404668</v>
      </c>
      <c r="I72" s="131">
        <f>G72*Sheet!$D$77</f>
        <v>6.5919264312934818</v>
      </c>
      <c r="J72" s="131">
        <f t="shared" si="5"/>
        <v>1804.8694568881465</v>
      </c>
      <c r="K72" s="131">
        <f t="shared" si="6"/>
        <v>8.0535197797247104E-3</v>
      </c>
      <c r="L72" s="131">
        <f t="shared" si="7"/>
        <v>127.33143438881842</v>
      </c>
    </row>
    <row r="73" spans="1:12" x14ac:dyDescent="0.2">
      <c r="A73" s="131">
        <v>6.8999999999999915</v>
      </c>
      <c r="B73" s="131">
        <f>Sheet!$D$5*A73*60/(Sheet!$D$7*PI())</f>
        <v>153.74367502677072</v>
      </c>
      <c r="C73" s="131">
        <f>MAX((Sheet!$F$35*(SQRT(Sheet!$D$33)*SQRT(2))*(2*Sheet!$D$32*Sheet!$F$25*B73/60*Sheet!$D$30/1000*Sheet!$D$31/1000)*(Sheet!$D$11/Sheet!$D$33))-1.4,0)</f>
        <v>334.62999999999971</v>
      </c>
      <c r="D73" s="131">
        <f>(Sheet!$D$41^4*Sheet!$D$32^2*Sheet!$F$25^2*B73^2*Sheet!$D$13*0.001*Sheet!$D$11*2*Sheet!$F$35*Sheet!$D$43*PI())/(144*10^8*Sheet!$D$65)</f>
        <v>55.190023780297103</v>
      </c>
      <c r="E73" s="131">
        <f>A73^3*Sheet!$D$75/2*Sheet!$D$7^2/4*PI()*Sheet!$D$76/100</f>
        <v>1999.322320396109</v>
      </c>
      <c r="F73" s="131">
        <f t="shared" si="4"/>
        <v>1944.132296615812</v>
      </c>
      <c r="G73" s="131">
        <f>IF(F73=0,0,SQRT((C73^2+2*F73*Sheet!$F$67)/(2*Sheet!$F$67^2)-SQRT((C73^2+2*F73*Sheet!$F$67)^2/(4*Sheet!$F$67^4)-(F73^2/Sheet!$F$67^2))))</f>
        <v>5.6558814147052585</v>
      </c>
      <c r="H73" s="131">
        <f>G73^2*Sheet!$F$67</f>
        <v>51.504698813037962</v>
      </c>
      <c r="I73" s="131">
        <f>G73*Sheet!$D$77</f>
        <v>6.7870576976463104</v>
      </c>
      <c r="J73" s="131">
        <f t="shared" si="5"/>
        <v>1885.8405401051277</v>
      </c>
      <c r="K73" s="131">
        <f t="shared" si="6"/>
        <v>7.5675730048388222E-3</v>
      </c>
      <c r="L73" s="131">
        <f t="shared" si="7"/>
        <v>125.01602703351681</v>
      </c>
    </row>
    <row r="74" spans="1:12" x14ac:dyDescent="0.2">
      <c r="A74" s="131">
        <v>6.9999999999999911</v>
      </c>
      <c r="B74" s="131">
        <f>Sheet!$D$5*A74*60/(Sheet!$D$7*PI())</f>
        <v>155.97184423005723</v>
      </c>
      <c r="C74" s="131">
        <f>MAX((Sheet!$F$35*(SQRT(Sheet!$D$33)*SQRT(2))*(2*Sheet!$D$32*Sheet!$F$25*B74/60*Sheet!$D$30/1000*Sheet!$D$31/1000)*(Sheet!$D$11/Sheet!$D$33))-1.4,0)</f>
        <v>339.4999999999996</v>
      </c>
      <c r="D74" s="131">
        <f>(Sheet!$D$41^4*Sheet!$D$32^2*Sheet!$F$25^2*B74^2*Sheet!$D$13*0.001*Sheet!$D$11*2*Sheet!$F$35*Sheet!$D$43*PI())/(144*10^8*Sheet!$D$65)</f>
        <v>56.801326722002891</v>
      </c>
      <c r="E74" s="131">
        <f>A74^3*Sheet!$D$75/2*Sheet!$D$7^2/4*PI()*Sheet!$D$76/100</f>
        <v>2087.5152762812136</v>
      </c>
      <c r="F74" s="131">
        <f t="shared" si="4"/>
        <v>2030.7139495592107</v>
      </c>
      <c r="G74" s="131">
        <f>IF(F74=0,0,SQRT((C74^2+2*F74*Sheet!$F$67)/(2*Sheet!$F$67^2)-SQRT((C74^2+2*F74*Sheet!$F$67)^2/(4*Sheet!$F$67^4)-(F74^2/Sheet!$F$67^2))))</f>
        <v>5.8208006465551758</v>
      </c>
      <c r="H74" s="131">
        <f>G74^2*Sheet!$F$67</f>
        <v>54.552130053786215</v>
      </c>
      <c r="I74" s="131">
        <f>G74*Sheet!$D$77</f>
        <v>6.9849607758662104</v>
      </c>
      <c r="J74" s="131">
        <f t="shared" si="5"/>
        <v>1969.1768587295583</v>
      </c>
      <c r="K74" s="131">
        <f t="shared" si="6"/>
        <v>7.0968205758651049E-3</v>
      </c>
      <c r="L74" s="131">
        <f t="shared" si="7"/>
        <v>122.42007887329223</v>
      </c>
    </row>
    <row r="75" spans="1:12" x14ac:dyDescent="0.2">
      <c r="A75" s="131">
        <v>7.0999999999999908</v>
      </c>
      <c r="B75" s="131">
        <f>Sheet!$D$5*A75*60/(Sheet!$D$7*PI())</f>
        <v>158.20001343334374</v>
      </c>
      <c r="C75" s="131">
        <f>MAX((Sheet!$F$35*(SQRT(Sheet!$D$33)*SQRT(2))*(2*Sheet!$D$32*Sheet!$F$25*B75/60*Sheet!$D$30/1000*Sheet!$D$31/1000)*(Sheet!$D$11/Sheet!$D$33))-1.4,0)</f>
        <v>344.36999999999955</v>
      </c>
      <c r="D75" s="131">
        <f>(Sheet!$D$41^4*Sheet!$D$32^2*Sheet!$F$25^2*B75^2*Sheet!$D$13*0.001*Sheet!$D$11*2*Sheet!$F$35*Sheet!$D$43*PI())/(144*10^8*Sheet!$D$65)</f>
        <v>58.435813878697246</v>
      </c>
      <c r="E75" s="131">
        <f>A75^3*Sheet!$D$75/2*Sheet!$D$7^2/4*PI()*Sheet!$D$76/100</f>
        <v>2178.2643733209484</v>
      </c>
      <c r="F75" s="131">
        <f t="shared" si="4"/>
        <v>2119.8285594422509</v>
      </c>
      <c r="G75" s="131">
        <f>IF(F75=0,0,SQRT((C75^2+2*F75*Sheet!$F$67)/(2*Sheet!$F$67^2)-SQRT((C75^2+2*F75*Sheet!$F$67)^2/(4*Sheet!$F$67^4)-(F75^2/Sheet!$F$67^2))))</f>
        <v>5.9880272177610205</v>
      </c>
      <c r="H75" s="131">
        <f>G75^2*Sheet!$F$67</f>
        <v>57.731626461859946</v>
      </c>
      <c r="I75" s="131">
        <f>G75*Sheet!$D$77</f>
        <v>7.1856326613132246</v>
      </c>
      <c r="J75" s="131">
        <f t="shared" si="5"/>
        <v>2054.9113003190778</v>
      </c>
      <c r="K75" s="131">
        <f t="shared" si="6"/>
        <v>6.6421200870976109E-3</v>
      </c>
      <c r="L75" s="131">
        <f t="shared" si="7"/>
        <v>119.56495639546617</v>
      </c>
    </row>
    <row r="76" spans="1:12" x14ac:dyDescent="0.2">
      <c r="A76" s="131">
        <v>7.1999999999999904</v>
      </c>
      <c r="B76" s="131">
        <f>Sheet!$D$5*A76*60/(Sheet!$D$7*PI())</f>
        <v>160.42818263663028</v>
      </c>
      <c r="C76" s="131">
        <f>MAX((Sheet!$F$35*(SQRT(Sheet!$D$33)*SQRT(2))*(2*Sheet!$D$32*Sheet!$F$25*B76/60*Sheet!$D$30/1000*Sheet!$D$31/1000)*(Sheet!$D$11/Sheet!$D$33))-1.4,0)</f>
        <v>349.23999999999961</v>
      </c>
      <c r="D76" s="131">
        <f>(Sheet!$D$41^4*Sheet!$D$32^2*Sheet!$F$25^2*B76^2*Sheet!$D$13*0.001*Sheet!$D$11*2*Sheet!$F$35*Sheet!$D$43*PI())/(144*10^8*Sheet!$D$65)</f>
        <v>60.093485250380184</v>
      </c>
      <c r="E76" s="131">
        <f>A76^3*Sheet!$D$75/2*Sheet!$D$7^2/4*PI()*Sheet!$D$76/100</f>
        <v>2271.6061278175225</v>
      </c>
      <c r="F76" s="131">
        <f t="shared" si="4"/>
        <v>2211.5126425671424</v>
      </c>
      <c r="G76" s="131">
        <f>IF(F76=0,0,SQRT((C76^2+2*F76*Sheet!$F$67)/(2*Sheet!$F$67^2)-SQRT((C76^2+2*F76*Sheet!$F$67)^2/(4*Sheet!$F$67^4)-(F76^2/Sheet!$F$67^2))))</f>
        <v>6.157558631775025</v>
      </c>
      <c r="H76" s="131">
        <f>G76^2*Sheet!$F$67</f>
        <v>61.046866006006638</v>
      </c>
      <c r="I76" s="131">
        <f>G76*Sheet!$D$77</f>
        <v>7.3890703581300299</v>
      </c>
      <c r="J76" s="131">
        <f t="shared" si="5"/>
        <v>2143.0767062030059</v>
      </c>
      <c r="K76" s="131">
        <f t="shared" si="6"/>
        <v>6.2041826135562474E-3</v>
      </c>
      <c r="L76" s="131">
        <f t="shared" si="7"/>
        <v>116.47330374364461</v>
      </c>
    </row>
    <row r="77" spans="1:12" x14ac:dyDescent="0.2">
      <c r="A77" s="131">
        <v>7.2999999999999901</v>
      </c>
      <c r="B77" s="131">
        <f>Sheet!$D$5*A77*60/(Sheet!$D$7*PI())</f>
        <v>162.65635183991682</v>
      </c>
      <c r="C77" s="131">
        <f>MAX((Sheet!$F$35*(SQRT(Sheet!$D$33)*SQRT(2))*(2*Sheet!$D$32*Sheet!$F$25*B77/60*Sheet!$D$30/1000*Sheet!$D$31/1000)*(Sheet!$D$11/Sheet!$D$33))-1.4,0)</f>
        <v>354.10999999999956</v>
      </c>
      <c r="D77" s="131">
        <f>(Sheet!$D$41^4*Sheet!$D$32^2*Sheet!$F$25^2*B77^2*Sheet!$D$13*0.001*Sheet!$D$11*2*Sheet!$F$35*Sheet!$D$43*PI())/(144*10^8*Sheet!$D$65)</f>
        <v>61.774340837051717</v>
      </c>
      <c r="E77" s="131">
        <f>A77^3*Sheet!$D$75/2*Sheet!$D$7^2/4*PI()*Sheet!$D$76/100</f>
        <v>2367.5770560731448</v>
      </c>
      <c r="F77" s="131">
        <f t="shared" si="4"/>
        <v>2305.8027152360933</v>
      </c>
      <c r="G77" s="131">
        <f>IF(F77=0,0,SQRT((C77^2+2*F77*Sheet!$F$67)/(2*Sheet!$F$67^2)-SQRT((C77^2+2*F77*Sheet!$F$67)^2/(4*Sheet!$F$67^4)-(F77^2/Sheet!$F$67^2))))</f>
        <v>6.3293923993334298</v>
      </c>
      <c r="H77" s="131">
        <f>G77^2*Sheet!$F$67</f>
        <v>64.501572708113287</v>
      </c>
      <c r="I77" s="131">
        <f>G77*Sheet!$D$77</f>
        <v>7.5952708792001156</v>
      </c>
      <c r="J77" s="131">
        <f t="shared" si="5"/>
        <v>2233.70587164878</v>
      </c>
      <c r="K77" s="131">
        <f t="shared" si="6"/>
        <v>5.7835770278514675E-3</v>
      </c>
      <c r="L77" s="131">
        <f t="shared" si="7"/>
        <v>113.16877530430466</v>
      </c>
    </row>
    <row r="78" spans="1:12" x14ac:dyDescent="0.2">
      <c r="A78" s="131">
        <v>7.3999999999999897</v>
      </c>
      <c r="B78" s="131">
        <f>Sheet!$D$5*A78*60/(Sheet!$D$7*PI())</f>
        <v>164.88452104320334</v>
      </c>
      <c r="C78" s="131">
        <f>MAX((Sheet!$F$35*(SQRT(Sheet!$D$33)*SQRT(2))*(2*Sheet!$D$32*Sheet!$F$25*B78/60*Sheet!$D$30/1000*Sheet!$D$31/1000)*(Sheet!$D$11/Sheet!$D$33))-1.4,0)</f>
        <v>358.97999999999951</v>
      </c>
      <c r="D78" s="131">
        <f>(Sheet!$D$41^4*Sheet!$D$32^2*Sheet!$F$25^2*B78^2*Sheet!$D$13*0.001*Sheet!$D$11*2*Sheet!$F$35*Sheet!$D$43*PI())/(144*10^8*Sheet!$D$65)</f>
        <v>63.478380638711783</v>
      </c>
      <c r="E78" s="131">
        <f>A78^3*Sheet!$D$75/2*Sheet!$D$7^2/4*PI()*Sheet!$D$76/100</f>
        <v>2466.2136743900242</v>
      </c>
      <c r="F78" s="131">
        <f t="shared" si="4"/>
        <v>2402.7352937513124</v>
      </c>
      <c r="G78" s="131">
        <f>IF(F78=0,0,SQRT((C78^2+2*F78*Sheet!$F$67)/(2*Sheet!$F$67^2)-SQRT((C78^2+2*F78*Sheet!$F$67)^2/(4*Sheet!$F$67^4)-(F78^2/Sheet!$F$67^2))))</f>
        <v>6.503526038424349</v>
      </c>
      <c r="H78" s="131">
        <f>G78^2*Sheet!$F$67</f>
        <v>68.099516477763387</v>
      </c>
      <c r="I78" s="131">
        <f>G78*Sheet!$D$77</f>
        <v>7.804231246109218</v>
      </c>
      <c r="J78" s="131">
        <f t="shared" si="5"/>
        <v>2326.8315460274398</v>
      </c>
      <c r="K78" s="131">
        <f t="shared" si="6"/>
        <v>5.3807353082979768E-3</v>
      </c>
      <c r="L78" s="131">
        <f t="shared" si="7"/>
        <v>109.67576638806159</v>
      </c>
    </row>
    <row r="79" spans="1:12" x14ac:dyDescent="0.2">
      <c r="A79" s="131">
        <v>7.4999999999999893</v>
      </c>
      <c r="B79" s="131">
        <f>Sheet!$D$5*A79*60/(Sheet!$D$7*PI())</f>
        <v>167.1126902464899</v>
      </c>
      <c r="C79" s="131">
        <f>MAX((Sheet!$F$35*(SQRT(Sheet!$D$33)*SQRT(2))*(2*Sheet!$D$32*Sheet!$F$25*B79/60*Sheet!$D$30/1000*Sheet!$D$31/1000)*(Sheet!$D$11/Sheet!$D$33))-1.4,0)</f>
        <v>363.84999999999968</v>
      </c>
      <c r="D79" s="131">
        <f>(Sheet!$D$41^4*Sheet!$D$32^2*Sheet!$F$25^2*B79^2*Sheet!$D$13*0.001*Sheet!$D$11*2*Sheet!$F$35*Sheet!$D$43*PI())/(144*10^8*Sheet!$D$65)</f>
        <v>65.205604655360474</v>
      </c>
      <c r="E79" s="131">
        <f>A79^3*Sheet!$D$75/2*Sheet!$D$7^2/4*PI()*Sheet!$D$76/100</f>
        <v>2567.5524990703693</v>
      </c>
      <c r="F79" s="131">
        <f t="shared" si="4"/>
        <v>2502.346894415009</v>
      </c>
      <c r="G79" s="131">
        <f>IF(F79=0,0,SQRT((C79^2+2*F79*Sheet!$F$67)/(2*Sheet!$F$67^2)-SQRT((C79^2+2*F79*Sheet!$F$67)^2/(4*Sheet!$F$67^4)-(F79^2/Sheet!$F$67^2))))</f>
        <v>6.6799570742538545</v>
      </c>
      <c r="H79" s="131">
        <f>G79^2*Sheet!$F$67</f>
        <v>71.844512947655218</v>
      </c>
      <c r="I79" s="131">
        <f>G79*Sheet!$D$77</f>
        <v>8.0159484891046251</v>
      </c>
      <c r="J79" s="131">
        <f t="shared" si="5"/>
        <v>2422.486432978249</v>
      </c>
      <c r="K79" s="131">
        <f t="shared" si="6"/>
        <v>4.9959587206708433E-3</v>
      </c>
      <c r="L79" s="131">
        <f t="shared" si="7"/>
        <v>106.0191458519697</v>
      </c>
    </row>
    <row r="80" spans="1:12" x14ac:dyDescent="0.2">
      <c r="A80" s="131">
        <v>7.599999999999989</v>
      </c>
      <c r="B80" s="131">
        <f>Sheet!$D$5*A80*60/(Sheet!$D$7*PI())</f>
        <v>169.34085944977639</v>
      </c>
      <c r="C80" s="131">
        <f>MAX((Sheet!$F$35*(SQRT(Sheet!$D$33)*SQRT(2))*(2*Sheet!$D$32*Sheet!$F$25*B80/60*Sheet!$D$30/1000*Sheet!$D$31/1000)*(Sheet!$D$11/Sheet!$D$33))-1.4,0)</f>
        <v>368.71999999999946</v>
      </c>
      <c r="D80" s="131">
        <f>(Sheet!$D$41^4*Sheet!$D$32^2*Sheet!$F$25^2*B80^2*Sheet!$D$13*0.001*Sheet!$D$11*2*Sheet!$F$35*Sheet!$D$43*PI())/(144*10^8*Sheet!$D$65)</f>
        <v>66.956012886997684</v>
      </c>
      <c r="E80" s="131">
        <f>A80^3*Sheet!$D$75/2*Sheet!$D$7^2/4*PI()*Sheet!$D$76/100</f>
        <v>2671.6300464163896</v>
      </c>
      <c r="F80" s="131">
        <f t="shared" si="4"/>
        <v>2604.6740335293921</v>
      </c>
      <c r="G80" s="131">
        <f>IF(F80=0,0,SQRT((C80^2+2*F80*Sheet!$F$67)/(2*Sheet!$F$67^2)-SQRT((C80^2+2*F80*Sheet!$F$67)^2/(4*Sheet!$F$67^4)-(F80^2/Sheet!$F$67^2))))</f>
        <v>6.8586830392151557</v>
      </c>
      <c r="H80" s="131">
        <f>G80^2*Sheet!$F$67</f>
        <v>75.740423309974744</v>
      </c>
      <c r="I80" s="131">
        <f>G80*Sheet!$D$77</f>
        <v>8.2304196470581861</v>
      </c>
      <c r="J80" s="131">
        <f t="shared" si="5"/>
        <v>2520.7031905723593</v>
      </c>
      <c r="K80" s="131">
        <f t="shared" si="6"/>
        <v>4.6294247524601316E-3</v>
      </c>
      <c r="L80" s="131">
        <f t="shared" si="7"/>
        <v>102.22399431779837</v>
      </c>
    </row>
    <row r="81" spans="1:12" x14ac:dyDescent="0.2">
      <c r="A81" s="131">
        <v>7.6999999999999886</v>
      </c>
      <c r="B81" s="131">
        <f>Sheet!$D$5*A81*60/(Sheet!$D$7*PI())</f>
        <v>171.56902865306293</v>
      </c>
      <c r="C81" s="131">
        <f>MAX((Sheet!$F$35*(SQRT(Sheet!$D$33)*SQRT(2))*(2*Sheet!$D$32*Sheet!$F$25*B81/60*Sheet!$D$30/1000*Sheet!$D$31/1000)*(Sheet!$D$11/Sheet!$D$33))-1.4,0)</f>
        <v>373.58999999999946</v>
      </c>
      <c r="D81" s="131">
        <f>(Sheet!$D$41^4*Sheet!$D$32^2*Sheet!$F$25^2*B81^2*Sheet!$D$13*0.001*Sheet!$D$11*2*Sheet!$F$35*Sheet!$D$43*PI())/(144*10^8*Sheet!$D$65)</f>
        <v>68.729605333623468</v>
      </c>
      <c r="E81" s="131">
        <f>A81^3*Sheet!$D$75/2*Sheet!$D$7^2/4*PI()*Sheet!$D$76/100</f>
        <v>2778.4828327302939</v>
      </c>
      <c r="F81" s="131">
        <f t="shared" si="4"/>
        <v>2709.7532273966704</v>
      </c>
      <c r="G81" s="131">
        <f>IF(F81=0,0,SQRT((C81^2+2*F81*Sheet!$F$67)/(2*Sheet!$F$67^2)-SQRT((C81^2+2*F81*Sheet!$F$67)^2/(4*Sheet!$F$67^4)-(F81^2/Sheet!$F$67^2))))</f>
        <v>7.0397014728531566</v>
      </c>
      <c r="H81" s="131">
        <f>G81^2*Sheet!$F$67</f>
        <v>79.791154153553506</v>
      </c>
      <c r="I81" s="131">
        <f>G81*Sheet!$D$77</f>
        <v>8.4476417674237876</v>
      </c>
      <c r="J81" s="131">
        <f t="shared" si="5"/>
        <v>2621.5144314756931</v>
      </c>
      <c r="K81" s="131">
        <f t="shared" si="6"/>
        <v>4.281194676839589E-3</v>
      </c>
      <c r="L81" s="131">
        <f t="shared" si="7"/>
        <v>98.315351392597023</v>
      </c>
    </row>
    <row r="82" spans="1:12" x14ac:dyDescent="0.2">
      <c r="A82" s="131">
        <v>7.7999999999999883</v>
      </c>
      <c r="B82" s="131">
        <f>Sheet!$D$5*A82*60/(Sheet!$D$7*PI())</f>
        <v>173.79719785634944</v>
      </c>
      <c r="C82" s="131">
        <f>MAX((Sheet!$F$35*(SQRT(Sheet!$D$33)*SQRT(2))*(2*Sheet!$D$32*Sheet!$F$25*B82/60*Sheet!$D$30/1000*Sheet!$D$31/1000)*(Sheet!$D$11/Sheet!$D$33))-1.4,0)</f>
        <v>378.45999999999941</v>
      </c>
      <c r="D82" s="131">
        <f>(Sheet!$D$41^4*Sheet!$D$32^2*Sheet!$F$25^2*B82^2*Sheet!$D$13*0.001*Sheet!$D$11*2*Sheet!$F$35*Sheet!$D$43*PI())/(144*10^8*Sheet!$D$65)</f>
        <v>70.526381995237841</v>
      </c>
      <c r="E82" s="131">
        <f>A82^3*Sheet!$D$75/2*Sheet!$D$7^2/4*PI()*Sheet!$D$76/100</f>
        <v>2888.147374314291</v>
      </c>
      <c r="F82" s="131">
        <f t="shared" si="4"/>
        <v>2817.6209923190531</v>
      </c>
      <c r="G82" s="131">
        <f>IF(F82=0,0,SQRT((C82^2+2*F82*Sheet!$F$67)/(2*Sheet!$F$67^2)-SQRT((C82^2+2*F82*Sheet!$F$67)^2/(4*Sheet!$F$67^4)-(F82^2/Sheet!$F$67^2))))</f>
        <v>7.2230099218332979</v>
      </c>
      <c r="H82" s="131">
        <f>G82^2*Sheet!$F$67</f>
        <v>84.000657301992959</v>
      </c>
      <c r="I82" s="131">
        <f>G82*Sheet!$D$77</f>
        <v>8.6676119061999568</v>
      </c>
      <c r="J82" s="131">
        <f t="shared" si="5"/>
        <v>2724.9527231108605</v>
      </c>
      <c r="K82" s="131">
        <f t="shared" si="6"/>
        <v>3.9512216237370824E-3</v>
      </c>
      <c r="L82" s="131">
        <f t="shared" si="7"/>
        <v>94.317974999379857</v>
      </c>
    </row>
    <row r="83" spans="1:12" x14ac:dyDescent="0.2">
      <c r="A83" s="131">
        <v>7.8999999999999879</v>
      </c>
      <c r="B83" s="131">
        <f>Sheet!$D$5*A83*60/(Sheet!$D$7*PI())</f>
        <v>176.02536705963595</v>
      </c>
      <c r="C83" s="131">
        <f>MAX((Sheet!$F$35*(SQRT(Sheet!$D$33)*SQRT(2))*(2*Sheet!$D$32*Sheet!$F$25*B83/60*Sheet!$D$30/1000*Sheet!$D$31/1000)*(Sheet!$D$11/Sheet!$D$33))-1.4,0)</f>
        <v>383.32999999999936</v>
      </c>
      <c r="D83" s="131">
        <f>(Sheet!$D$41^4*Sheet!$D$32^2*Sheet!$F$25^2*B83^2*Sheet!$D$13*0.001*Sheet!$D$11*2*Sheet!$F$35*Sheet!$D$43*PI())/(144*10^8*Sheet!$D$65)</f>
        <v>72.346342871840747</v>
      </c>
      <c r="E83" s="131">
        <f>A83^3*Sheet!$D$75/2*Sheet!$D$7^2/4*PI()*Sheet!$D$76/100</f>
        <v>3000.6601874705902</v>
      </c>
      <c r="F83" s="131">
        <f t="shared" si="4"/>
        <v>2928.3138445987497</v>
      </c>
      <c r="G83" s="131">
        <f>IF(F83=0,0,SQRT((C83^2+2*F83*Sheet!$F$67)/(2*Sheet!$F$67^2)-SQRT((C83^2+2*F83*Sheet!$F$67)^2/(4*Sheet!$F$67^4)-(F83^2/Sheet!$F$67^2))))</f>
        <v>7.4086059399108137</v>
      </c>
      <c r="H83" s="131">
        <f>G83^2*Sheet!$F$67</f>
        <v>88.372929652673079</v>
      </c>
      <c r="I83" s="131">
        <f>G83*Sheet!$D$77</f>
        <v>8.8903271278929754</v>
      </c>
      <c r="J83" s="131">
        <f t="shared" si="5"/>
        <v>2831.0505878181839</v>
      </c>
      <c r="K83" s="131">
        <f t="shared" si="6"/>
        <v>3.639359037268689E-3</v>
      </c>
      <c r="L83" s="131">
        <f t="shared" si="7"/>
        <v>90.256115585650647</v>
      </c>
    </row>
    <row r="84" spans="1:12" x14ac:dyDescent="0.2">
      <c r="A84" s="131">
        <v>7.9999999999999876</v>
      </c>
      <c r="B84" s="131">
        <f>Sheet!$D$5*A84*60/(Sheet!$D$7*PI())</f>
        <v>178.25353626292252</v>
      </c>
      <c r="C84" s="131">
        <f>MAX((Sheet!$F$35*(SQRT(Sheet!$D$33)*SQRT(2))*(2*Sheet!$D$32*Sheet!$F$25*B84/60*Sheet!$D$30/1000*Sheet!$D$31/1000)*(Sheet!$D$11/Sheet!$D$33))-1.4,0)</f>
        <v>388.19999999999953</v>
      </c>
      <c r="D84" s="131">
        <f>(Sheet!$D$41^4*Sheet!$D$32^2*Sheet!$F$25^2*B84^2*Sheet!$D$13*0.001*Sheet!$D$11*2*Sheet!$F$35*Sheet!$D$43*PI())/(144*10^8*Sheet!$D$65)</f>
        <v>74.189487963432313</v>
      </c>
      <c r="E84" s="131">
        <f>A84^3*Sheet!$D$75/2*Sheet!$D$7^2/4*PI()*Sheet!$D$76/100</f>
        <v>3116.0577885014</v>
      </c>
      <c r="F84" s="131">
        <f t="shared" si="4"/>
        <v>3041.8683005379676</v>
      </c>
      <c r="G84" s="131">
        <f>IF(F84=0,0,SQRT((C84^2+2*F84*Sheet!$F$67)/(2*Sheet!$F$67^2)-SQRT((C84^2+2*F84*Sheet!$F$67)^2/(4*Sheet!$F$67^4)-(F84^2/Sheet!$F$67^2))))</f>
        <v>7.5964870878965458</v>
      </c>
      <c r="H84" s="131">
        <f>G84^2*Sheet!$F$67</f>
        <v>92.912013016546339</v>
      </c>
      <c r="I84" s="131">
        <f>G84*Sheet!$D$77</f>
        <v>9.1157845054758546</v>
      </c>
      <c r="J84" s="131">
        <f t="shared" si="5"/>
        <v>2939.8405030159452</v>
      </c>
      <c r="K84" s="131">
        <f t="shared" si="6"/>
        <v>3.3453694022401088E-3</v>
      </c>
      <c r="L84" s="131">
        <f t="shared" si="7"/>
        <v>86.153307604400055</v>
      </c>
    </row>
    <row r="85" spans="1:12" x14ac:dyDescent="0.2">
      <c r="A85" s="131">
        <v>8.0999999999999872</v>
      </c>
      <c r="B85" s="131">
        <f>Sheet!$D$5*A85*60/(Sheet!$D$7*PI())</f>
        <v>180.48170546620904</v>
      </c>
      <c r="C85" s="131">
        <f>MAX((Sheet!$F$35*(SQRT(Sheet!$D$33)*SQRT(2))*(2*Sheet!$D$32*Sheet!$F$25*B85/60*Sheet!$D$30/1000*Sheet!$D$31/1000)*(Sheet!$D$11/Sheet!$D$33))-1.4,0)</f>
        <v>393.06999999999937</v>
      </c>
      <c r="D85" s="131">
        <f>(Sheet!$D$41^4*Sheet!$D$32^2*Sheet!$F$25^2*B85^2*Sheet!$D$13*0.001*Sheet!$D$11*2*Sheet!$F$35*Sheet!$D$43*PI())/(144*10^8*Sheet!$D$65)</f>
        <v>76.055817270012412</v>
      </c>
      <c r="E85" s="131">
        <f>A85^3*Sheet!$D$75/2*Sheet!$D$7^2/4*PI()*Sheet!$D$76/100</f>
        <v>3234.3766937089304</v>
      </c>
      <c r="F85" s="131">
        <f t="shared" si="4"/>
        <v>3158.3208764389178</v>
      </c>
      <c r="G85" s="131">
        <f>IF(F85=0,0,SQRT((C85^2+2*F85*Sheet!$F$67)/(2*Sheet!$F$67^2)-SQRT((C85^2+2*F85*Sheet!$F$67)^2/(4*Sheet!$F$67^4)-(F85^2/Sheet!$F$67^2))))</f>
        <v>7.786650933625296</v>
      </c>
      <c r="H85" s="131">
        <f>G85^2*Sheet!$F$67</f>
        <v>97.621993958844882</v>
      </c>
      <c r="I85" s="131">
        <f>G85*Sheet!$D$77</f>
        <v>9.3439811203503549</v>
      </c>
      <c r="J85" s="131">
        <f t="shared" si="5"/>
        <v>3051.3549013597226</v>
      </c>
      <c r="K85" s="131">
        <f t="shared" si="6"/>
        <v>3.0689331272755398E-3</v>
      </c>
      <c r="L85" s="131">
        <f t="shared" si="7"/>
        <v>82.032180265151169</v>
      </c>
    </row>
    <row r="86" spans="1:12" x14ac:dyDescent="0.2">
      <c r="A86" s="131">
        <v>8.1999999999999869</v>
      </c>
      <c r="B86" s="131">
        <f>Sheet!$D$5*A86*60/(Sheet!$D$7*PI())</f>
        <v>182.70987466949558</v>
      </c>
      <c r="C86" s="131">
        <f>MAX((Sheet!$F$35*(SQRT(Sheet!$D$33)*SQRT(2))*(2*Sheet!$D$32*Sheet!$F$25*B86/60*Sheet!$D$30/1000*Sheet!$D$31/1000)*(Sheet!$D$11/Sheet!$D$33))-1.4,0)</f>
        <v>397.93999999999937</v>
      </c>
      <c r="D86" s="131">
        <f>(Sheet!$D$41^4*Sheet!$D$32^2*Sheet!$F$25^2*B86^2*Sheet!$D$13*0.001*Sheet!$D$11*2*Sheet!$F$35*Sheet!$D$43*PI())/(144*10^8*Sheet!$D$65)</f>
        <v>77.945330791581085</v>
      </c>
      <c r="E86" s="131">
        <f>A86^3*Sheet!$D$75/2*Sheet!$D$7^2/4*PI()*Sheet!$D$76/100</f>
        <v>3355.6534193953908</v>
      </c>
      <c r="F86" s="131">
        <f t="shared" si="4"/>
        <v>3277.7080886038098</v>
      </c>
      <c r="G86" s="131">
        <f>IF(F86=0,0,SQRT((C86^2+2*F86*Sheet!$F$67)/(2*Sheet!$F$67^2)-SQRT((C86^2+2*F86*Sheet!$F$67)^2/(4*Sheet!$F$67^4)-(F86^2/Sheet!$F$67^2))))</f>
        <v>7.9790950519252126</v>
      </c>
      <c r="H86" s="131">
        <f>G86^2*Sheet!$F$67</f>
        <v>102.50700364066674</v>
      </c>
      <c r="I86" s="131">
        <f>G86*Sheet!$D$77</f>
        <v>9.5749140623102544</v>
      </c>
      <c r="J86" s="131">
        <f t="shared" si="5"/>
        <v>3165.6261709008327</v>
      </c>
      <c r="K86" s="131">
        <f t="shared" si="6"/>
        <v>2.8096574782358178E-3</v>
      </c>
      <c r="L86" s="131">
        <f t="shared" si="7"/>
        <v>77.914289140685938</v>
      </c>
    </row>
    <row r="87" spans="1:12" x14ac:dyDescent="0.2">
      <c r="A87" s="131">
        <v>8.2999999999999865</v>
      </c>
      <c r="B87" s="131">
        <f>Sheet!$D$5*A87*60/(Sheet!$D$7*PI())</f>
        <v>184.93804387278209</v>
      </c>
      <c r="C87" s="131">
        <f>MAX((Sheet!$F$35*(SQRT(Sheet!$D$33)*SQRT(2))*(2*Sheet!$D$32*Sheet!$F$25*B87/60*Sheet!$D$30/1000*Sheet!$D$31/1000)*(Sheet!$D$11/Sheet!$D$33))-1.4,0)</f>
        <v>402.80999999999938</v>
      </c>
      <c r="D87" s="131">
        <f>(Sheet!$D$41^4*Sheet!$D$32^2*Sheet!$F$25^2*B87^2*Sheet!$D$13*0.001*Sheet!$D$11*2*Sheet!$F$35*Sheet!$D$43*PI())/(144*10^8*Sheet!$D$65)</f>
        <v>79.858028528138291</v>
      </c>
      <c r="E87" s="131">
        <f>A87^3*Sheet!$D$75/2*Sheet!$D$7^2/4*PI()*Sheet!$D$76/100</f>
        <v>3479.9244818629882</v>
      </c>
      <c r="F87" s="131">
        <f t="shared" si="4"/>
        <v>3400.0664533348499</v>
      </c>
      <c r="G87" s="131">
        <f>IF(F87=0,0,SQRT((C87^2+2*F87*Sheet!$F$67)/(2*Sheet!$F$67^2)-SQRT((C87^2+2*F87*Sheet!$F$67)^2/(4*Sheet!$F$67^4)-(F87^2/Sheet!$F$67^2))))</f>
        <v>8.173817024586068</v>
      </c>
      <c r="H87" s="131">
        <f>G87^2*Sheet!$F$67</f>
        <v>107.57121766138188</v>
      </c>
      <c r="I87" s="131">
        <f>G87*Sheet!$D$77</f>
        <v>9.8085804295032819</v>
      </c>
      <c r="J87" s="131">
        <f t="shared" si="5"/>
        <v>3282.6866552439647</v>
      </c>
      <c r="K87" s="131">
        <f t="shared" si="6"/>
        <v>2.5670854627552957E-3</v>
      </c>
      <c r="L87" s="131">
        <f t="shared" si="7"/>
        <v>73.819969797168469</v>
      </c>
    </row>
    <row r="88" spans="1:12" x14ac:dyDescent="0.2">
      <c r="A88" s="131">
        <v>8.3999999999999861</v>
      </c>
      <c r="B88" s="131">
        <f>Sheet!$D$5*A88*60/(Sheet!$D$7*PI())</f>
        <v>187.1662130760686</v>
      </c>
      <c r="C88" s="131">
        <f>MAX((Sheet!$F$35*(SQRT(Sheet!$D$33)*SQRT(2))*(2*Sheet!$D$32*Sheet!$F$25*B88/60*Sheet!$D$30/1000*Sheet!$D$31/1000)*(Sheet!$D$11/Sheet!$D$33))-1.4,0)</f>
        <v>407.67999999999938</v>
      </c>
      <c r="D88" s="131">
        <f>(Sheet!$D$41^4*Sheet!$D$32^2*Sheet!$F$25^2*B88^2*Sheet!$D$13*0.001*Sheet!$D$11*2*Sheet!$F$35*Sheet!$D$43*PI())/(144*10^8*Sheet!$D$65)</f>
        <v>81.793910479684087</v>
      </c>
      <c r="E88" s="131">
        <f>A88^3*Sheet!$D$75/2*Sheet!$D$7^2/4*PI()*Sheet!$D$76/100</f>
        <v>3607.2263974139323</v>
      </c>
      <c r="F88" s="131">
        <f t="shared" si="4"/>
        <v>3525.4324869342481</v>
      </c>
      <c r="G88" s="131">
        <f>IF(F88=0,0,SQRT((C88^2+2*F88*Sheet!$F$67)/(2*Sheet!$F$67^2)-SQRT((C88^2+2*F88*Sheet!$F$67)^2/(4*Sheet!$F$67^4)-(F88^2/Sheet!$F$67^2))))</f>
        <v>8.37081444032642</v>
      </c>
      <c r="H88" s="131">
        <f>G88^2*Sheet!$F$67</f>
        <v>112.81885590184659</v>
      </c>
      <c r="I88" s="131">
        <f>G88*Sheet!$D$77</f>
        <v>10.044977328391704</v>
      </c>
      <c r="J88" s="131">
        <f t="shared" si="5"/>
        <v>3402.5686537040096</v>
      </c>
      <c r="K88" s="131">
        <f t="shared" si="6"/>
        <v>2.3407045747740117E-3</v>
      </c>
      <c r="L88" s="131">
        <f t="shared" si="7"/>
        <v>69.768214200078788</v>
      </c>
    </row>
    <row r="89" spans="1:12" x14ac:dyDescent="0.2">
      <c r="A89" s="131">
        <v>8.4999999999999858</v>
      </c>
      <c r="B89" s="131">
        <f>Sheet!$D$5*A89*60/(Sheet!$D$7*PI())</f>
        <v>189.39438227935514</v>
      </c>
      <c r="C89" s="131">
        <f>MAX((Sheet!$F$35*(SQRT(Sheet!$D$33)*SQRT(2))*(2*Sheet!$D$32*Sheet!$F$25*B89/60*Sheet!$D$30/1000*Sheet!$D$31/1000)*(Sheet!$D$11/Sheet!$D$33))-1.4,0)</f>
        <v>412.54999999999939</v>
      </c>
      <c r="D89" s="131">
        <f>(Sheet!$D$41^4*Sheet!$D$32^2*Sheet!$F$25^2*B89^2*Sheet!$D$13*0.001*Sheet!$D$11*2*Sheet!$F$35*Sheet!$D$43*PI())/(144*10^8*Sheet!$D$65)</f>
        <v>83.752976646218499</v>
      </c>
      <c r="E89" s="131">
        <f>A89^3*Sheet!$D$75/2*Sheet!$D$7^2/4*PI()*Sheet!$D$76/100</f>
        <v>3737.595682350433</v>
      </c>
      <c r="F89" s="131">
        <f t="shared" si="4"/>
        <v>3653.8427057042145</v>
      </c>
      <c r="G89" s="131">
        <f>IF(F89=0,0,SQRT((C89^2+2*F89*Sheet!$F$67)/(2*Sheet!$F$67^2)-SQRT((C89^2+2*F89*Sheet!$F$67)^2/(4*Sheet!$F$67^4)-(F89^2/Sheet!$F$67^2))))</f>
        <v>8.5700848947662429</v>
      </c>
      <c r="H89" s="131">
        <f>G89^2*Sheet!$F$67</f>
        <v>118.25418236859609</v>
      </c>
      <c r="I89" s="131">
        <f>G89*Sheet!$D$77</f>
        <v>10.284101873719491</v>
      </c>
      <c r="J89" s="131">
        <f t="shared" si="5"/>
        <v>3525.304421461899</v>
      </c>
      <c r="K89" s="131">
        <f t="shared" si="6"/>
        <v>2.1299553166779736E-3</v>
      </c>
      <c r="L89" s="131">
        <f t="shared" si="7"/>
        <v>65.776570243713977</v>
      </c>
    </row>
    <row r="90" spans="1:12" x14ac:dyDescent="0.2">
      <c r="A90" s="131">
        <v>8.5999999999999854</v>
      </c>
      <c r="B90" s="131">
        <f>Sheet!$D$5*A90*60/(Sheet!$D$7*PI())</f>
        <v>191.62255148264165</v>
      </c>
      <c r="C90" s="131">
        <f>MAX((Sheet!$F$35*(SQRT(Sheet!$D$33)*SQRT(2))*(2*Sheet!$D$32*Sheet!$F$25*B90/60*Sheet!$D$30/1000*Sheet!$D$31/1000)*(Sheet!$D$11/Sheet!$D$33))-1.4,0)</f>
        <v>417.41999999999933</v>
      </c>
      <c r="D90" s="131">
        <f>(Sheet!$D$41^4*Sheet!$D$32^2*Sheet!$F$25^2*B90^2*Sheet!$D$13*0.001*Sheet!$D$11*2*Sheet!$F$35*Sheet!$D$43*PI())/(144*10^8*Sheet!$D$65)</f>
        <v>85.735227027741445</v>
      </c>
      <c r="E90" s="131">
        <f>A90^3*Sheet!$D$75/2*Sheet!$D$7^2/4*PI()*Sheet!$D$76/100</f>
        <v>3871.0688529746999</v>
      </c>
      <c r="F90" s="131">
        <f t="shared" si="4"/>
        <v>3785.3336259469584</v>
      </c>
      <c r="G90" s="131">
        <f>IF(F90=0,0,SQRT((C90^2+2*F90*Sheet!$F$67)/(2*Sheet!$F$67^2)-SQRT((C90^2+2*F90*Sheet!$F$67)^2/(4*Sheet!$F$67^4)-(F90^2/Sheet!$F$67^2))))</f>
        <v>8.7716259903896692</v>
      </c>
      <c r="H90" s="131">
        <f>G90^2*Sheet!$F$67</f>
        <v>123.88150503859956</v>
      </c>
      <c r="I90" s="131">
        <f>G90*Sheet!$D$77</f>
        <v>10.525951188467603</v>
      </c>
      <c r="J90" s="131">
        <f t="shared" si="5"/>
        <v>3650.9261697198913</v>
      </c>
      <c r="K90" s="131">
        <f t="shared" si="6"/>
        <v>1.9342394258986787E-3</v>
      </c>
      <c r="L90" s="131">
        <f t="shared" si="7"/>
        <v>61.861064365412979</v>
      </c>
    </row>
    <row r="91" spans="1:12" x14ac:dyDescent="0.2">
      <c r="A91" s="131">
        <v>8.6999999999999851</v>
      </c>
      <c r="B91" s="131">
        <f>Sheet!$D$5*A91*60/(Sheet!$D$7*PI())</f>
        <v>193.8507206859282</v>
      </c>
      <c r="C91" s="131">
        <f>MAX((Sheet!$F$35*(SQRT(Sheet!$D$33)*SQRT(2))*(2*Sheet!$D$32*Sheet!$F$25*B91/60*Sheet!$D$30/1000*Sheet!$D$31/1000)*(Sheet!$D$11/Sheet!$D$33))-1.4,0)</f>
        <v>422.2899999999994</v>
      </c>
      <c r="D91" s="131">
        <f>(Sheet!$D$41^4*Sheet!$D$32^2*Sheet!$F$25^2*B91^2*Sheet!$D$13*0.001*Sheet!$D$11*2*Sheet!$F$35*Sheet!$D$43*PI())/(144*10^8*Sheet!$D$65)</f>
        <v>87.740661624252965</v>
      </c>
      <c r="E91" s="131">
        <f>A91^3*Sheet!$D$75/2*Sheet!$D$7^2/4*PI()*Sheet!$D$76/100</f>
        <v>4007.6824255889392</v>
      </c>
      <c r="F91" s="131">
        <f t="shared" si="4"/>
        <v>3919.9417639646863</v>
      </c>
      <c r="G91" s="131">
        <f>IF(F91=0,0,SQRT((C91^2+2*F91*Sheet!$F$67)/(2*Sheet!$F$67^2)-SQRT((C91^2+2*F91*Sheet!$F$67)^2/(4*Sheet!$F$67^4)-(F91^2/Sheet!$F$67^2))))</f>
        <v>8.975435336520901</v>
      </c>
      <c r="H91" s="131">
        <f>G91^2*Sheet!$F$67</f>
        <v>129.70517570519226</v>
      </c>
      <c r="I91" s="131">
        <f>G91*Sheet!$D$77</f>
        <v>10.770522403825082</v>
      </c>
      <c r="J91" s="131">
        <f t="shared" si="5"/>
        <v>3779.4660658556691</v>
      </c>
      <c r="K91" s="131">
        <f t="shared" si="6"/>
        <v>1.7529277423782483E-3</v>
      </c>
      <c r="L91" s="131">
        <f t="shared" si="7"/>
        <v>58.03614684356846</v>
      </c>
    </row>
    <row r="92" spans="1:12" x14ac:dyDescent="0.2">
      <c r="A92" s="131">
        <v>8.7999999999999847</v>
      </c>
      <c r="B92" s="131">
        <f>Sheet!$D$5*A92*60/(Sheet!$D$7*PI())</f>
        <v>196.07888988921474</v>
      </c>
      <c r="C92" s="131">
        <f>MAX((Sheet!$F$35*(SQRT(Sheet!$D$33)*SQRT(2))*(2*Sheet!$D$32*Sheet!$F$25*B92/60*Sheet!$D$30/1000*Sheet!$D$31/1000)*(Sheet!$D$11/Sheet!$D$33))-1.4,0)</f>
        <v>427.15999999999934</v>
      </c>
      <c r="D92" s="131">
        <f>(Sheet!$D$41^4*Sheet!$D$32^2*Sheet!$F$25^2*B92^2*Sheet!$D$13*0.001*Sheet!$D$11*2*Sheet!$F$35*Sheet!$D$43*PI())/(144*10^8*Sheet!$D$65)</f>
        <v>89.769280435753075</v>
      </c>
      <c r="E92" s="131">
        <f>A92^3*Sheet!$D$75/2*Sheet!$D$7^2/4*PI()*Sheet!$D$76/100</f>
        <v>4147.4729164953633</v>
      </c>
      <c r="F92" s="131">
        <f t="shared" si="4"/>
        <v>4057.7036360596103</v>
      </c>
      <c r="G92" s="131">
        <f>IF(F92=0,0,SQRT((C92^2+2*F92*Sheet!$F$67)/(2*Sheet!$F$67^2)-SQRT((C92^2+2*F92*Sheet!$F$67)^2/(4*Sheet!$F$67^4)-(F92^2/Sheet!$F$67^2))))</f>
        <v>9.1815105492904792</v>
      </c>
      <c r="H92" s="131">
        <f>G92^2*Sheet!$F$67</f>
        <v>135.72958982456421</v>
      </c>
      <c r="I92" s="131">
        <f>G92*Sheet!$D$77</f>
        <v>11.017812659148575</v>
      </c>
      <c r="J92" s="131">
        <f t="shared" si="5"/>
        <v>3910.9562335758974</v>
      </c>
      <c r="K92" s="131">
        <f t="shared" si="6"/>
        <v>1.5853676630038442E-3</v>
      </c>
      <c r="L92" s="131">
        <f t="shared" si="7"/>
        <v>54.314659046618544</v>
      </c>
    </row>
    <row r="93" spans="1:12" x14ac:dyDescent="0.2">
      <c r="A93" s="131">
        <v>8.8999999999999844</v>
      </c>
      <c r="B93" s="131">
        <f>Sheet!$D$5*A93*60/(Sheet!$D$7*PI())</f>
        <v>198.30705909250125</v>
      </c>
      <c r="C93" s="131">
        <f>MAX((Sheet!$F$35*(SQRT(Sheet!$D$33)*SQRT(2))*(2*Sheet!$D$32*Sheet!$F$25*B93/60*Sheet!$D$30/1000*Sheet!$D$31/1000)*(Sheet!$D$11/Sheet!$D$33))-1.4,0)</f>
        <v>432.02999999999923</v>
      </c>
      <c r="D93" s="131">
        <f>(Sheet!$D$41^4*Sheet!$D$32^2*Sheet!$F$25^2*B93^2*Sheet!$D$13*0.001*Sheet!$D$11*2*Sheet!$F$35*Sheet!$D$43*PI())/(144*10^8*Sheet!$D$65)</f>
        <v>91.821083462241731</v>
      </c>
      <c r="E93" s="131">
        <f>A93^3*Sheet!$D$75/2*Sheet!$D$7^2/4*PI()*Sheet!$D$76/100</f>
        <v>4290.4768419961774</v>
      </c>
      <c r="F93" s="131">
        <f t="shared" si="4"/>
        <v>4198.655758533936</v>
      </c>
      <c r="G93" s="131">
        <f>IF(F93=0,0,SQRT((C93^2+2*F93*Sheet!$F$67)/(2*Sheet!$F$67^2)-SQRT((C93^2+2*F93*Sheet!$F$67)^2/(4*Sheet!$F$67^4)-(F93^2/Sheet!$F$67^2))))</f>
        <v>9.3898492516046428</v>
      </c>
      <c r="H93" s="131">
        <f>G93^2*Sheet!$F$67</f>
        <v>141.95918636313945</v>
      </c>
      <c r="I93" s="131">
        <f>G93*Sheet!$D$77</f>
        <v>11.267819101925571</v>
      </c>
      <c r="J93" s="131">
        <f t="shared" si="5"/>
        <v>4045.4287530688712</v>
      </c>
      <c r="K93" s="131">
        <f t="shared" si="6"/>
        <v>1.4308901387886258E-3</v>
      </c>
      <c r="L93" s="131">
        <f t="shared" si="7"/>
        <v>50.707821603058754</v>
      </c>
    </row>
    <row r="94" spans="1:12" x14ac:dyDescent="0.2">
      <c r="A94" s="131">
        <v>8.999999999999984</v>
      </c>
      <c r="B94" s="131">
        <f>Sheet!$D$5*A94*60/(Sheet!$D$7*PI())</f>
        <v>200.53522829578776</v>
      </c>
      <c r="C94" s="131">
        <f>MAX((Sheet!$F$35*(SQRT(Sheet!$D$33)*SQRT(2))*(2*Sheet!$D$32*Sheet!$F$25*B94/60*Sheet!$D$30/1000*Sheet!$D$31/1000)*(Sheet!$D$11/Sheet!$D$33))-1.4,0)</f>
        <v>436.89999999999918</v>
      </c>
      <c r="D94" s="131">
        <f>(Sheet!$D$41^4*Sheet!$D$32^2*Sheet!$F$25^2*B94^2*Sheet!$D$13*0.001*Sheet!$D$11*2*Sheet!$F$35*Sheet!$D$43*PI())/(144*10^8*Sheet!$D$65)</f>
        <v>93.896070703718976</v>
      </c>
      <c r="E94" s="131">
        <f>A94^3*Sheet!$D$75/2*Sheet!$D$7^2/4*PI()*Sheet!$D$76/100</f>
        <v>4436.7307183935936</v>
      </c>
      <c r="F94" s="131">
        <f t="shared" si="4"/>
        <v>4342.8346476898751</v>
      </c>
      <c r="G94" s="131">
        <f>IF(F94=0,0,SQRT((C94^2+2*F94*Sheet!$F$67)/(2*Sheet!$F$67^2)-SQRT((C94^2+2*F94*Sheet!$F$67)^2/(4*Sheet!$F$67^4)-(F94^2/Sheet!$F$67^2))))</f>
        <v>9.6004490731152394</v>
      </c>
      <c r="H94" s="131">
        <f>G94^2*Sheet!$F$67</f>
        <v>148.39844764577489</v>
      </c>
      <c r="I94" s="131">
        <f>G94*Sheet!$D$77</f>
        <v>11.520538887738287</v>
      </c>
      <c r="J94" s="131">
        <f t="shared" si="5"/>
        <v>4182.9156611563621</v>
      </c>
      <c r="K94" s="131">
        <f t="shared" si="6"/>
        <v>1.2888161800745821E-3</v>
      </c>
      <c r="L94" s="131">
        <f t="shared" si="7"/>
        <v>47.225242203714629</v>
      </c>
    </row>
    <row r="95" spans="1:12" x14ac:dyDescent="0.2">
      <c r="A95" s="131">
        <v>9.0999999999999837</v>
      </c>
      <c r="B95" s="131">
        <f>Sheet!$D$5*A95*60/(Sheet!$D$7*PI())</f>
        <v>202.7633974990743</v>
      </c>
      <c r="C95" s="131">
        <f>MAX((Sheet!$F$35*(SQRT(Sheet!$D$33)*SQRT(2))*(2*Sheet!$D$32*Sheet!$F$25*B95/60*Sheet!$D$30/1000*Sheet!$D$31/1000)*(Sheet!$D$11/Sheet!$D$33))-1.4,0)</f>
        <v>441.76999999999924</v>
      </c>
      <c r="D95" s="131">
        <f>(Sheet!$D$41^4*Sheet!$D$32^2*Sheet!$F$25^2*B95^2*Sheet!$D$13*0.001*Sheet!$D$11*2*Sheet!$F$35*Sheet!$D$43*PI())/(144*10^8*Sheet!$D$65)</f>
        <v>95.994242160184811</v>
      </c>
      <c r="E95" s="131">
        <f>A95^3*Sheet!$D$75/2*Sheet!$D$7^2/4*PI()*Sheet!$D$76/100</f>
        <v>4586.2710619898189</v>
      </c>
      <c r="F95" s="131">
        <f t="shared" si="4"/>
        <v>4490.2768198296344</v>
      </c>
      <c r="G95" s="131">
        <f>IF(F95=0,0,SQRT((C95^2+2*F95*Sheet!$F$67)/(2*Sheet!$F$67^2)-SQRT((C95^2+2*F95*Sheet!$F$67)^2/(4*Sheet!$F$67^4)-(F95^2/Sheet!$F$67^2))))</f>
        <v>9.8133076501910619</v>
      </c>
      <c r="H95" s="131">
        <f>G95^2*Sheet!$F$67</f>
        <v>155.05189920480314</v>
      </c>
      <c r="I95" s="131">
        <f>G95*Sheet!$D$77</f>
        <v>11.775969180229273</v>
      </c>
      <c r="J95" s="131">
        <f t="shared" si="5"/>
        <v>4323.4489514446022</v>
      </c>
      <c r="K95" s="131">
        <f t="shared" si="6"/>
        <v>1.1584628442181011E-3</v>
      </c>
      <c r="L95" s="131">
        <f t="shared" si="7"/>
        <v>43.874941529511176</v>
      </c>
    </row>
    <row r="96" spans="1:12" x14ac:dyDescent="0.2">
      <c r="A96" s="131">
        <v>9.1999999999999833</v>
      </c>
      <c r="B96" s="131">
        <f>Sheet!$D$5*A96*60/(Sheet!$D$7*PI())</f>
        <v>204.99156670236081</v>
      </c>
      <c r="C96" s="131">
        <f>MAX((Sheet!$F$35*(SQRT(Sheet!$D$33)*SQRT(2))*(2*Sheet!$D$32*Sheet!$F$25*B96/60*Sheet!$D$30/1000*Sheet!$D$31/1000)*(Sheet!$D$11/Sheet!$D$33))-1.4,0)</f>
        <v>446.63999999999908</v>
      </c>
      <c r="D96" s="131">
        <f>(Sheet!$D$41^4*Sheet!$D$32^2*Sheet!$F$25^2*B96^2*Sheet!$D$13*0.001*Sheet!$D$11*2*Sheet!$F$35*Sheet!$D$43*PI())/(144*10^8*Sheet!$D$65)</f>
        <v>98.115597831639178</v>
      </c>
      <c r="E96" s="131">
        <f>A96^3*Sheet!$D$75/2*Sheet!$D$7^2/4*PI()*Sheet!$D$76/100</f>
        <v>4739.134389087063</v>
      </c>
      <c r="F96" s="131">
        <f t="shared" si="4"/>
        <v>4641.0187912554238</v>
      </c>
      <c r="G96" s="131">
        <f>IF(F96=0,0,SQRT((C96^2+2*F96*Sheet!$F$67)/(2*Sheet!$F$67^2)-SQRT((C96^2+2*F96*Sheet!$F$67)^2/(4*Sheet!$F$67^4)-(F96^2/Sheet!$F$67^2))))</f>
        <v>10.028422625885874</v>
      </c>
      <c r="H96" s="131">
        <f>G96^2*Sheet!$F$67</f>
        <v>161.92410962976581</v>
      </c>
      <c r="I96" s="131">
        <f>G96*Sheet!$D$77</f>
        <v>12.034107151063049</v>
      </c>
      <c r="J96" s="131">
        <f t="shared" si="5"/>
        <v>4467.0605744745953</v>
      </c>
      <c r="K96" s="131">
        <f t="shared" si="6"/>
        <v>1.0391486889718496E-3</v>
      </c>
      <c r="L96" s="131">
        <f t="shared" si="7"/>
        <v>40.663395622222467</v>
      </c>
    </row>
    <row r="97" spans="1:12" x14ac:dyDescent="0.2">
      <c r="A97" s="131">
        <v>9.2999999999999829</v>
      </c>
      <c r="B97" s="131">
        <f>Sheet!$D$5*A97*60/(Sheet!$D$7*PI())</f>
        <v>207.21973590564735</v>
      </c>
      <c r="C97" s="131">
        <f>MAX((Sheet!$F$35*(SQRT(Sheet!$D$33)*SQRT(2))*(2*Sheet!$D$32*Sheet!$F$25*B97/60*Sheet!$D$30/1000*Sheet!$D$31/1000)*(Sheet!$D$11/Sheet!$D$33))-1.4,0)</f>
        <v>451.50999999999914</v>
      </c>
      <c r="D97" s="131">
        <f>(Sheet!$D$41^4*Sheet!$D$32^2*Sheet!$F$25^2*B97^2*Sheet!$D$13*0.001*Sheet!$D$11*2*Sheet!$F$35*Sheet!$D$43*PI())/(144*10^8*Sheet!$D$65)</f>
        <v>100.26013771808215</v>
      </c>
      <c r="E97" s="131">
        <f>A97^3*Sheet!$D$75/2*Sheet!$D$7^2/4*PI()*Sheet!$D$76/100</f>
        <v>4895.3572159875375</v>
      </c>
      <c r="F97" s="131">
        <f t="shared" si="4"/>
        <v>4795.0970782694558</v>
      </c>
      <c r="G97" s="131">
        <f>IF(F97=0,0,SQRT((C97^2+2*F97*Sheet!$F$67)/(2*Sheet!$F$67^2)-SQRT((C97^2+2*F97*Sheet!$F$67)^2/(4*Sheet!$F$67^4)-(F97^2/Sheet!$F$67^2))))</f>
        <v>10.245791649911272</v>
      </c>
      <c r="H97" s="131">
        <f>G97^2*Sheet!$F$67</f>
        <v>169.01969041808488</v>
      </c>
      <c r="I97" s="131">
        <f>G97*Sheet!$D$77</f>
        <v>12.294949979893525</v>
      </c>
      <c r="J97" s="131">
        <f t="shared" si="5"/>
        <v>4613.7824378714777</v>
      </c>
      <c r="K97" s="131">
        <f t="shared" si="6"/>
        <v>9.3019868299364702E-4</v>
      </c>
      <c r="L97" s="131">
        <f t="shared" si="7"/>
        <v>37.595592882586857</v>
      </c>
    </row>
    <row r="98" spans="1:12" x14ac:dyDescent="0.2">
      <c r="A98" s="131">
        <v>9.3999999999999826</v>
      </c>
      <c r="B98" s="131">
        <f>Sheet!$D$5*A98*60/(Sheet!$D$7*PI())</f>
        <v>209.4479051089339</v>
      </c>
      <c r="C98" s="131">
        <f>MAX((Sheet!$F$35*(SQRT(Sheet!$D$33)*SQRT(2))*(2*Sheet!$D$32*Sheet!$F$25*B98/60*Sheet!$D$30/1000*Sheet!$D$31/1000)*(Sheet!$D$11/Sheet!$D$33))-1.4,0)</f>
        <v>456.3799999999992</v>
      </c>
      <c r="D98" s="131">
        <f>(Sheet!$D$41^4*Sheet!$D$32^2*Sheet!$F$25^2*B98^2*Sheet!$D$13*0.001*Sheet!$D$11*2*Sheet!$F$35*Sheet!$D$43*PI())/(144*10^8*Sheet!$D$65)</f>
        <v>102.42786181951368</v>
      </c>
      <c r="E98" s="131">
        <f>A98^3*Sheet!$D$75/2*Sheet!$D$7^2/4*PI()*Sheet!$D$76/100</f>
        <v>5054.9760589934476</v>
      </c>
      <c r="F98" s="131">
        <f t="shared" si="4"/>
        <v>4952.5481971739337</v>
      </c>
      <c r="G98" s="131">
        <f>IF(F98=0,0,SQRT((C98^2+2*F98*Sheet!$F$67)/(2*Sheet!$F$67^2)-SQRT((C98^2+2*F98*Sheet!$F$67)^2/(4*Sheet!$F$67^4)-(F98^2/Sheet!$F$67^2))))</f>
        <v>10.465412378604805</v>
      </c>
      <c r="H98" s="131">
        <f>G98^2*Sheet!$F$67</f>
        <v>176.34329582636582</v>
      </c>
      <c r="I98" s="131">
        <f>G98*Sheet!$D$77</f>
        <v>12.558494854325765</v>
      </c>
      <c r="J98" s="131">
        <f t="shared" si="5"/>
        <v>4763.6464064932425</v>
      </c>
      <c r="K98" s="131">
        <f t="shared" si="6"/>
        <v>8.3094857251005561E-4</v>
      </c>
      <c r="L98" s="131">
        <f t="shared" si="7"/>
        <v>34.675103789223577</v>
      </c>
    </row>
    <row r="99" spans="1:12" x14ac:dyDescent="0.2">
      <c r="A99" s="131">
        <v>9.4999999999999822</v>
      </c>
      <c r="B99" s="131">
        <f>Sheet!$D$5*A99*60/(Sheet!$D$7*PI())</f>
        <v>211.67607431222041</v>
      </c>
      <c r="C99" s="131">
        <f>MAX((Sheet!$F$35*(SQRT(Sheet!$D$33)*SQRT(2))*(2*Sheet!$D$32*Sheet!$F$25*B99/60*Sheet!$D$30/1000*Sheet!$D$31/1000)*(Sheet!$D$11/Sheet!$D$33))-1.4,0)</f>
        <v>461.2499999999992</v>
      </c>
      <c r="D99" s="131">
        <f>(Sheet!$D$41^4*Sheet!$D$32^2*Sheet!$F$25^2*B99^2*Sheet!$D$13*0.001*Sheet!$D$11*2*Sheet!$F$35*Sheet!$D$43*PI())/(144*10^8*Sheet!$D$65)</f>
        <v>104.61877013593376</v>
      </c>
      <c r="E99" s="131">
        <f>A99^3*Sheet!$D$75/2*Sheet!$D$7^2/4*PI()*Sheet!$D$76/100</f>
        <v>5218.0274344070031</v>
      </c>
      <c r="F99" s="131">
        <f t="shared" si="4"/>
        <v>5113.408664271069</v>
      </c>
      <c r="G99" s="131">
        <f>IF(F99=0,0,SQRT((C99^2+2*F99*Sheet!$F$67)/(2*Sheet!$F$67^2)-SQRT((C99^2+2*F99*Sheet!$F$67)^2/(4*Sheet!$F$67^4)-(F99^2/Sheet!$F$67^2))))</f>
        <v>10.687282474902084</v>
      </c>
      <c r="H99" s="131">
        <f>G99^2*Sheet!$F$67</f>
        <v>183.89962272260357</v>
      </c>
      <c r="I99" s="131">
        <f>G99*Sheet!$D$77</f>
        <v>12.8247389698825</v>
      </c>
      <c r="J99" s="131">
        <f t="shared" si="5"/>
        <v>4916.6843025785829</v>
      </c>
      <c r="K99" s="131">
        <f t="shared" si="6"/>
        <v>7.4074871007303146E-4</v>
      </c>
      <c r="L99" s="131">
        <f t="shared" si="7"/>
        <v>31.904161381549528</v>
      </c>
    </row>
    <row r="100" spans="1:12" x14ac:dyDescent="0.2">
      <c r="A100" s="131">
        <v>9.5999999999999819</v>
      </c>
      <c r="B100" s="131">
        <f>Sheet!$D$5*A100*60/(Sheet!$D$7*PI())</f>
        <v>213.90424351550695</v>
      </c>
      <c r="C100" s="131">
        <f>MAX((Sheet!$F$35*(SQRT(Sheet!$D$33)*SQRT(2))*(2*Sheet!$D$32*Sheet!$F$25*B100/60*Sheet!$D$30/1000*Sheet!$D$31/1000)*(Sheet!$D$11/Sheet!$D$33))-1.4,0)</f>
        <v>466.11999999999915</v>
      </c>
      <c r="D100" s="131">
        <f>(Sheet!$D$41^4*Sheet!$D$32^2*Sheet!$F$25^2*B100^2*Sheet!$D$13*0.001*Sheet!$D$11*2*Sheet!$F$35*Sheet!$D$43*PI())/(144*10^8*Sheet!$D$65)</f>
        <v>106.83286266734245</v>
      </c>
      <c r="E100" s="131">
        <f>A100^3*Sheet!$D$75/2*Sheet!$D$7^2/4*PI()*Sheet!$D$76/100</f>
        <v>5384.5478585304145</v>
      </c>
      <c r="F100" s="131">
        <f t="shared" si="4"/>
        <v>5277.7149958630716</v>
      </c>
      <c r="G100" s="131">
        <f>IF(F100=0,0,SQRT((C100^2+2*F100*Sheet!$F$67)/(2*Sheet!$F$67^2)-SQRT((C100^2+2*F100*Sheet!$F$67)^2/(4*Sheet!$F$67^4)-(F100^2/Sheet!$F$67^2))))</f>
        <v>10.911399608307104</v>
      </c>
      <c r="H100" s="131">
        <f>G100^2*Sheet!$F$67</f>
        <v>191.69341043910225</v>
      </c>
      <c r="I100" s="131">
        <f>G100*Sheet!$D$77</f>
        <v>13.093679529968524</v>
      </c>
      <c r="J100" s="131">
        <f t="shared" si="5"/>
        <v>5072.927905894001</v>
      </c>
      <c r="K100" s="131">
        <f t="shared" si="6"/>
        <v>6.5896735752430833E-4</v>
      </c>
      <c r="L100" s="131">
        <f t="shared" si="7"/>
        <v>29.283750538230649</v>
      </c>
    </row>
    <row r="101" spans="1:12" x14ac:dyDescent="0.2">
      <c r="A101" s="131">
        <v>9.6999999999999815</v>
      </c>
      <c r="B101" s="131">
        <f>Sheet!$D$5*A101*60/(Sheet!$D$7*PI())</f>
        <v>216.13241271879343</v>
      </c>
      <c r="C101" s="131">
        <f>MAX((Sheet!$F$35*(SQRT(Sheet!$D$33)*SQRT(2))*(2*Sheet!$D$32*Sheet!$F$25*B101/60*Sheet!$D$30/1000*Sheet!$D$31/1000)*(Sheet!$D$11/Sheet!$D$33))-1.4,0)</f>
        <v>470.9899999999991</v>
      </c>
      <c r="D101" s="131">
        <f>(Sheet!$D$41^4*Sheet!$D$32^2*Sheet!$F$25^2*B101^2*Sheet!$D$13*0.001*Sheet!$D$11*2*Sheet!$F$35*Sheet!$D$43*PI())/(144*10^8*Sheet!$D$65)</f>
        <v>109.07013941373968</v>
      </c>
      <c r="E101" s="131">
        <f>A101^3*Sheet!$D$75/2*Sheet!$D$7^2/4*PI()*Sheet!$D$76/100</f>
        <v>5554.5738476658917</v>
      </c>
      <c r="F101" s="131">
        <f t="shared" si="4"/>
        <v>5445.5037082521521</v>
      </c>
      <c r="G101" s="131">
        <f>IF(F101=0,0,SQRT((C101^2+2*F101*Sheet!$F$67)/(2*Sheet!$F$67^2)-SQRT((C101^2+2*F101*Sheet!$F$67)^2/(4*Sheet!$F$67^4)-(F101^2/Sheet!$F$67^2))))</f>
        <v>11.137761454862902</v>
      </c>
      <c r="H101" s="131">
        <f>G101^2*Sheet!$F$67</f>
        <v>199.72944062616884</v>
      </c>
      <c r="I101" s="131">
        <f>G101*Sheet!$D$77</f>
        <v>13.365313745835483</v>
      </c>
      <c r="J101" s="131">
        <f t="shared" si="5"/>
        <v>5232.4089538801472</v>
      </c>
      <c r="K101" s="131">
        <f t="shared" si="6"/>
        <v>5.8499348069307564E-4</v>
      </c>
      <c r="L101" s="131">
        <f t="shared" si="7"/>
        <v>26.813704106738072</v>
      </c>
    </row>
    <row r="102" spans="1:12" x14ac:dyDescent="0.2">
      <c r="A102" s="131">
        <v>9.7999999999999812</v>
      </c>
      <c r="B102" s="131">
        <f>Sheet!$D$5*A102*60/(Sheet!$D$7*PI())</f>
        <v>218.36058192207997</v>
      </c>
      <c r="C102" s="131">
        <f>MAX((Sheet!$F$35*(SQRT(Sheet!$D$33)*SQRT(2))*(2*Sheet!$D$32*Sheet!$F$25*B102/60*Sheet!$D$30/1000*Sheet!$D$31/1000)*(Sheet!$D$11/Sheet!$D$33))-1.4,0)</f>
        <v>475.85999999999905</v>
      </c>
      <c r="D102" s="131">
        <f>(Sheet!$D$41^4*Sheet!$D$32^2*Sheet!$F$25^2*B102^2*Sheet!$D$13*0.001*Sheet!$D$11*2*Sheet!$F$35*Sheet!$D$43*PI())/(144*10^8*Sheet!$D$65)</f>
        <v>111.33060037512553</v>
      </c>
      <c r="E102" s="131">
        <f>A102^3*Sheet!$D$75/2*Sheet!$D$7^2/4*PI()*Sheet!$D$76/100</f>
        <v>5728.1419181156389</v>
      </c>
      <c r="F102" s="131">
        <f t="shared" si="4"/>
        <v>5616.811317740513</v>
      </c>
      <c r="G102" s="131">
        <f>IF(F102=0,0,SQRT((C102^2+2*F102*Sheet!$F$67)/(2*Sheet!$F$67^2)-SQRT((C102^2+2*F102*Sheet!$F$67)^2/(4*Sheet!$F$67^4)-(F102^2/Sheet!$F$67^2))))</f>
        <v>11.366365697124849</v>
      </c>
      <c r="H102" s="131">
        <f>G102^2*Sheet!$F$67</f>
        <v>208.01253710666163</v>
      </c>
      <c r="I102" s="131">
        <f>G102*Sheet!$D$77</f>
        <v>13.639638836549818</v>
      </c>
      <c r="J102" s="131">
        <f t="shared" si="5"/>
        <v>5395.1591417973013</v>
      </c>
      <c r="K102" s="131">
        <f t="shared" si="6"/>
        <v>5.1823905798409407E-4</v>
      </c>
      <c r="L102" s="131">
        <f t="shared" si="7"/>
        <v>24.492803995957129</v>
      </c>
    </row>
    <row r="103" spans="1:12" x14ac:dyDescent="0.2">
      <c r="A103" s="131">
        <v>9.8999999999999808</v>
      </c>
      <c r="B103" s="131">
        <f>Sheet!$D$5*A103*60/(Sheet!$D$7*PI())</f>
        <v>220.58875112536651</v>
      </c>
      <c r="C103" s="131">
        <f>MAX((Sheet!$F$35*(SQRT(Sheet!$D$33)*SQRT(2))*(2*Sheet!$D$32*Sheet!$F$25*B103/60*Sheet!$D$30/1000*Sheet!$D$31/1000)*(Sheet!$D$11/Sheet!$D$33))-1.4,0)</f>
        <v>480.72999999999911</v>
      </c>
      <c r="D103" s="131">
        <f>(Sheet!$D$41^4*Sheet!$D$32^2*Sheet!$F$25^2*B103^2*Sheet!$D$13*0.001*Sheet!$D$11*2*Sheet!$F$35*Sheet!$D$43*PI())/(144*10^8*Sheet!$D$65)</f>
        <v>113.61424555149992</v>
      </c>
      <c r="E103" s="131">
        <f>A103^3*Sheet!$D$75/2*Sheet!$D$7^2/4*PI()*Sheet!$D$76/100</f>
        <v>5905.2885861818704</v>
      </c>
      <c r="F103" s="131">
        <f t="shared" si="4"/>
        <v>5791.6743406303704</v>
      </c>
      <c r="G103" s="131">
        <f>IF(F103=0,0,SQRT((C103^2+2*F103*Sheet!$F$67)/(2*Sheet!$F$67^2)-SQRT((C103^2+2*F103*Sheet!$F$67)^2/(4*Sheet!$F$67^4)-(F103^2/Sheet!$F$67^2))))</f>
        <v>11.59721002412857</v>
      </c>
      <c r="H103" s="131">
        <f>G103^2*Sheet!$F$67</f>
        <v>216.54756573110086</v>
      </c>
      <c r="I103" s="131">
        <f>G103*Sheet!$D$77</f>
        <v>13.916652028954283</v>
      </c>
      <c r="J103" s="131">
        <f t="shared" si="5"/>
        <v>5561.210122870315</v>
      </c>
      <c r="K103" s="131">
        <f t="shared" si="6"/>
        <v>4.5814092886633997E-4</v>
      </c>
      <c r="L103" s="131">
        <f t="shared" si="7"/>
        <v>22.318885428699243</v>
      </c>
    </row>
    <row r="104" spans="1:12" x14ac:dyDescent="0.2">
      <c r="A104" s="131">
        <v>9.9999999999999805</v>
      </c>
      <c r="B104" s="131">
        <f>Sheet!$D$5*A104*60/(Sheet!$D$7*PI())</f>
        <v>222.81692032865305</v>
      </c>
      <c r="C104" s="131">
        <f>MAX((Sheet!$F$35*(SQRT(Sheet!$D$33)*SQRT(2))*(2*Sheet!$D$32*Sheet!$F$25*B104/60*Sheet!$D$30/1000*Sheet!$D$31/1000)*(Sheet!$D$11/Sheet!$D$33))-1.4,0)</f>
        <v>485.59999999999906</v>
      </c>
      <c r="D104" s="131">
        <f>(Sheet!$D$41^4*Sheet!$D$32^2*Sheet!$F$25^2*B104^2*Sheet!$D$13*0.001*Sheet!$D$11*2*Sheet!$F$35*Sheet!$D$43*PI())/(144*10^8*Sheet!$D$65)</f>
        <v>115.92107494286292</v>
      </c>
      <c r="E104" s="131">
        <f>A104^3*Sheet!$D$75/2*Sheet!$D$7^2/4*PI()*Sheet!$D$76/100</f>
        <v>6086.0503681667915</v>
      </c>
      <c r="F104" s="131">
        <f t="shared" si="4"/>
        <v>5970.1292932239285</v>
      </c>
      <c r="G104" s="131">
        <f>IF(F104=0,0,SQRT((C104^2+2*F104*Sheet!$F$67)/(2*Sheet!$F$67^2)-SQRT((C104^2+2*F104*Sheet!$F$67)^2/(4*Sheet!$F$67^4)-(F104^2/Sheet!$F$67^2))))</f>
        <v>11.830292131363525</v>
      </c>
      <c r="H104" s="131">
        <f>G104^2*Sheet!$F$67</f>
        <v>225.3394342337287</v>
      </c>
      <c r="I104" s="131">
        <f>G104*Sheet!$D$77</f>
        <v>14.196350557636229</v>
      </c>
      <c r="J104" s="131">
        <f t="shared" si="5"/>
        <v>5730.5935084325638</v>
      </c>
      <c r="K104" s="131">
        <f t="shared" si="6"/>
        <v>4.0416221136153533E-4</v>
      </c>
      <c r="L104" s="131">
        <f t="shared" si="7"/>
        <v>20.288942660291756</v>
      </c>
    </row>
    <row r="105" spans="1:12" x14ac:dyDescent="0.2">
      <c r="A105" s="131">
        <v>10.09999999999998</v>
      </c>
      <c r="B105" s="131">
        <f>Sheet!$D$5*A105*60/(Sheet!$D$7*PI())</f>
        <v>225.04508953193957</v>
      </c>
      <c r="C105" s="131">
        <f>MAX((Sheet!$F$35*(SQRT(Sheet!$D$33)*SQRT(2))*(2*Sheet!$D$32*Sheet!$F$25*B105/60*Sheet!$D$30/1000*Sheet!$D$31/1000)*(Sheet!$D$11/Sheet!$D$33))-1.4,0)</f>
        <v>490.46999999999906</v>
      </c>
      <c r="D105" s="131">
        <f>(Sheet!$D$41^4*Sheet!$D$32^2*Sheet!$F$25^2*B105^2*Sheet!$D$13*0.001*Sheet!$D$11*2*Sheet!$F$35*Sheet!$D$43*PI())/(144*10^8*Sheet!$D$65)</f>
        <v>118.25108854921443</v>
      </c>
      <c r="E105" s="131">
        <f>A105^3*Sheet!$D$75/2*Sheet!$D$7^2/4*PI()*Sheet!$D$76/100</f>
        <v>6270.4637803726118</v>
      </c>
      <c r="F105" s="131">
        <f t="shared" si="4"/>
        <v>6152.2126918233971</v>
      </c>
      <c r="G105" s="131">
        <f>IF(F105=0,0,SQRT((C105^2+2*F105*Sheet!$F$67)/(2*Sheet!$F$67^2)-SQRT((C105^2+2*F105*Sheet!$F$67)^2/(4*Sheet!$F$67^4)-(F105^2/Sheet!$F$67^2))))</f>
        <v>12.065609720745913</v>
      </c>
      <c r="H105" s="131">
        <f>G105^2*Sheet!$F$67</f>
        <v>234.39309208929527</v>
      </c>
      <c r="I105" s="131">
        <f>G105*Sheet!$D$77</f>
        <v>14.478731664895095</v>
      </c>
      <c r="J105" s="131">
        <f t="shared" si="5"/>
        <v>5903.3408680692064</v>
      </c>
      <c r="K105" s="131">
        <f t="shared" si="6"/>
        <v>3.5579331998443725E-4</v>
      </c>
      <c r="L105" s="131">
        <f t="shared" si="7"/>
        <v>18.399234598903341</v>
      </c>
    </row>
    <row r="106" spans="1:12" x14ac:dyDescent="0.2">
      <c r="A106" s="131">
        <v>10.19999999999998</v>
      </c>
      <c r="B106" s="131">
        <f>Sheet!$D$5*A106*60/(Sheet!$D$7*PI())</f>
        <v>227.27325873522611</v>
      </c>
      <c r="C106" s="131">
        <f>MAX((Sheet!$F$35*(SQRT(Sheet!$D$33)*SQRT(2))*(2*Sheet!$D$32*Sheet!$F$25*B106/60*Sheet!$D$30/1000*Sheet!$D$31/1000)*(Sheet!$D$11/Sheet!$D$33))-1.4,0)</f>
        <v>495.33999999999918</v>
      </c>
      <c r="D106" s="131">
        <f>(Sheet!$D$41^4*Sheet!$D$32^2*Sheet!$F$25^2*B106^2*Sheet!$D$13*0.001*Sheet!$D$11*2*Sheet!$F$35*Sheet!$D$43*PI())/(144*10^8*Sheet!$D$65)</f>
        <v>120.60428637055456</v>
      </c>
      <c r="E106" s="131">
        <f>A106^3*Sheet!$D$75/2*Sheet!$D$7^2/4*PI()*Sheet!$D$76/100</f>
        <v>6458.5653391015439</v>
      </c>
      <c r="F106" s="131">
        <f t="shared" si="4"/>
        <v>6337.9610527309896</v>
      </c>
      <c r="G106" s="131">
        <f>IF(F106=0,0,SQRT((C106^2+2*F106*Sheet!$F$67)/(2*Sheet!$F$67^2)-SQRT((C106^2+2*F106*Sheet!$F$67)^2/(4*Sheet!$F$67^4)-(F106^2/Sheet!$F$67^2))))</f>
        <v>12.303160500586699</v>
      </c>
      <c r="H106" s="131">
        <f>G106^2*Sheet!$F$67</f>
        <v>243.71353037039518</v>
      </c>
      <c r="I106" s="131">
        <f>G106*Sheet!$D$77</f>
        <v>14.763792600704038</v>
      </c>
      <c r="J106" s="131">
        <f t="shared" si="5"/>
        <v>6079.4837297598906</v>
      </c>
      <c r="K106" s="131">
        <f t="shared" si="6"/>
        <v>3.1255261723998402E-4</v>
      </c>
      <c r="L106" s="131">
        <f t="shared" si="7"/>
        <v>16.645388908550135</v>
      </c>
    </row>
    <row r="107" spans="1:12" x14ac:dyDescent="0.2">
      <c r="A107" s="131">
        <v>10.299999999999979</v>
      </c>
      <c r="B107" s="131">
        <f>Sheet!$D$5*A107*60/(Sheet!$D$7*PI())</f>
        <v>229.50142793851259</v>
      </c>
      <c r="C107" s="131">
        <f>MAX((Sheet!$F$35*(SQRT(Sheet!$D$33)*SQRT(2))*(2*Sheet!$D$32*Sheet!$F$25*B107/60*Sheet!$D$30/1000*Sheet!$D$31/1000)*(Sheet!$D$11/Sheet!$D$33))-1.4,0)</f>
        <v>500.20999999999896</v>
      </c>
      <c r="D107" s="131">
        <f>(Sheet!$D$41^4*Sheet!$D$32^2*Sheet!$F$25^2*B107^2*Sheet!$D$13*0.001*Sheet!$D$11*2*Sheet!$F$35*Sheet!$D$43*PI())/(144*10^8*Sheet!$D$65)</f>
        <v>122.9806684068832</v>
      </c>
      <c r="E107" s="131">
        <f>A107^3*Sheet!$D$75/2*Sheet!$D$7^2/4*PI()*Sheet!$D$76/100</f>
        <v>6650.391560655793</v>
      </c>
      <c r="F107" s="131">
        <f t="shared" si="4"/>
        <v>6527.4108922489095</v>
      </c>
      <c r="G107" s="131">
        <f>IF(F107=0,0,SQRT((C107^2+2*F107*Sheet!$F$67)/(2*Sheet!$F$67^2)-SQRT((C107^2+2*F107*Sheet!$F$67)^2/(4*Sheet!$F$67^4)-(F107^2/Sheet!$F$67^2))))</f>
        <v>12.542942185568323</v>
      </c>
      <c r="H107" s="131">
        <f>G107^2*Sheet!$F$67</f>
        <v>253.30578160587041</v>
      </c>
      <c r="I107" s="131">
        <f>G107*Sheet!$D$77</f>
        <v>15.051530622681987</v>
      </c>
      <c r="J107" s="131">
        <f t="shared" si="5"/>
        <v>6259.053580020357</v>
      </c>
      <c r="K107" s="131">
        <f t="shared" si="6"/>
        <v>2.7398673278259631E-4</v>
      </c>
      <c r="L107" s="131">
        <f t="shared" si="7"/>
        <v>15.022503332540674</v>
      </c>
    </row>
    <row r="108" spans="1:12" x14ac:dyDescent="0.2">
      <c r="A108" s="131">
        <v>10.399999999999979</v>
      </c>
      <c r="B108" s="131">
        <f>Sheet!$D$5*A108*60/(Sheet!$D$7*PI())</f>
        <v>231.72959714179913</v>
      </c>
      <c r="C108" s="131">
        <f>MAX((Sheet!$F$35*(SQRT(Sheet!$D$33)*SQRT(2))*(2*Sheet!$D$32*Sheet!$F$25*B108/60*Sheet!$D$30/1000*Sheet!$D$31/1000)*(Sheet!$D$11/Sheet!$D$33))-1.4,0)</f>
        <v>505.07999999999902</v>
      </c>
      <c r="D108" s="131">
        <f>(Sheet!$D$41^4*Sheet!$D$32^2*Sheet!$F$25^2*B108^2*Sheet!$D$13*0.001*Sheet!$D$11*2*Sheet!$F$35*Sheet!$D$43*PI())/(144*10^8*Sheet!$D$65)</f>
        <v>125.38023465820048</v>
      </c>
      <c r="E108" s="131">
        <f>A108^3*Sheet!$D$75/2*Sheet!$D$7^2/4*PI()*Sheet!$D$76/100</f>
        <v>6845.9789613375669</v>
      </c>
      <c r="F108" s="131">
        <f t="shared" si="4"/>
        <v>6720.5987266793663</v>
      </c>
      <c r="G108" s="131">
        <f>IF(F108=0,0,SQRT((C108^2+2*F108*Sheet!$F$67)/(2*Sheet!$F$67^2)-SQRT((C108^2+2*F108*Sheet!$F$67)^2/(4*Sheet!$F$67^4)-(F108^2/Sheet!$F$67^2))))</f>
        <v>12.784952496712876</v>
      </c>
      <c r="H108" s="131">
        <f>G108^2*Sheet!$F$67</f>
        <v>263.17491963961123</v>
      </c>
      <c r="I108" s="131">
        <f>G108*Sheet!$D$77</f>
        <v>15.341942996055451</v>
      </c>
      <c r="J108" s="131">
        <f t="shared" si="5"/>
        <v>6442.0818640436992</v>
      </c>
      <c r="K108" s="131">
        <f t="shared" si="6"/>
        <v>2.3967058474322662E-4</v>
      </c>
      <c r="L108" s="131">
        <f t="shared" si="7"/>
        <v>13.525243139315217</v>
      </c>
    </row>
    <row r="109" spans="1:12" x14ac:dyDescent="0.2">
      <c r="A109" s="131">
        <v>10.499999999999979</v>
      </c>
      <c r="B109" s="131">
        <f>Sheet!$D$5*A109*60/(Sheet!$D$7*PI())</f>
        <v>233.95776634508573</v>
      </c>
      <c r="C109" s="131">
        <f>MAX((Sheet!$F$35*(SQRT(Sheet!$D$33)*SQRT(2))*(2*Sheet!$D$32*Sheet!$F$25*B109/60*Sheet!$D$30/1000*Sheet!$D$31/1000)*(Sheet!$D$11/Sheet!$D$33))-1.4,0)</f>
        <v>509.94999999999914</v>
      </c>
      <c r="D109" s="131">
        <f>(Sheet!$D$41^4*Sheet!$D$32^2*Sheet!$F$25^2*B109^2*Sheet!$D$13*0.001*Sheet!$D$11*2*Sheet!$F$35*Sheet!$D$43*PI())/(144*10^8*Sheet!$D$65)</f>
        <v>127.80298512450638</v>
      </c>
      <c r="E109" s="131">
        <f>A109^3*Sheet!$D$75/2*Sheet!$D$7^2/4*PI()*Sheet!$D$76/100</f>
        <v>7045.3640574490792</v>
      </c>
      <c r="F109" s="131">
        <f t="shared" si="4"/>
        <v>6917.5610723245727</v>
      </c>
      <c r="G109" s="131">
        <f>IF(F109=0,0,SQRT((C109^2+2*F109*Sheet!$F$67)/(2*Sheet!$F$67^2)-SQRT((C109^2+2*F109*Sheet!$F$67)^2/(4*Sheet!$F$67^4)-(F109^2/Sheet!$F$67^2))))</f>
        <v>13.029189161357506</v>
      </c>
      <c r="H109" s="131">
        <f>G109^2*Sheet!$F$67</f>
        <v>273.32605949036446</v>
      </c>
      <c r="I109" s="131">
        <f>G109*Sheet!$D$77</f>
        <v>15.635026993629006</v>
      </c>
      <c r="J109" s="131">
        <f t="shared" si="5"/>
        <v>6628.5999858405794</v>
      </c>
      <c r="K109" s="131">
        <f t="shared" si="6"/>
        <v>2.0920713758838171E-4</v>
      </c>
      <c r="L109" s="131">
        <f t="shared" si="7"/>
        <v>12.147933760283394</v>
      </c>
    </row>
    <row r="110" spans="1:12" x14ac:dyDescent="0.2">
      <c r="A110" s="131">
        <v>10.599999999999978</v>
      </c>
      <c r="B110" s="131">
        <f>Sheet!$D$5*A110*60/(Sheet!$D$7*PI())</f>
        <v>236.18593554837221</v>
      </c>
      <c r="C110" s="131">
        <f>MAX((Sheet!$F$35*(SQRT(Sheet!$D$33)*SQRT(2))*(2*Sheet!$D$32*Sheet!$F$25*B110/60*Sheet!$D$30/1000*Sheet!$D$31/1000)*(Sheet!$D$11/Sheet!$D$33))-1.4,0)</f>
        <v>514.81999999999903</v>
      </c>
      <c r="D110" s="131">
        <f>(Sheet!$D$41^4*Sheet!$D$32^2*Sheet!$F$25^2*B110^2*Sheet!$D$13*0.001*Sheet!$D$11*2*Sheet!$F$35*Sheet!$D$43*PI())/(144*10^8*Sheet!$D$65)</f>
        <v>130.24891980580071</v>
      </c>
      <c r="E110" s="131">
        <f>A110^3*Sheet!$D$75/2*Sheet!$D$7^2/4*PI()*Sheet!$D$76/100</f>
        <v>7248.5833652925367</v>
      </c>
      <c r="F110" s="131">
        <f t="shared" si="4"/>
        <v>7118.3344454867356</v>
      </c>
      <c r="G110" s="131">
        <f>IF(F110=0,0,SQRT((C110^2+2*F110*Sheet!$F$67)/(2*Sheet!$F$67^2)-SQRT((C110^2+2*F110*Sheet!$F$67)^2/(4*Sheet!$F$67^4)-(F110^2/Sheet!$F$67^2))))</f>
        <v>13.275649913124216</v>
      </c>
      <c r="H110" s="131">
        <f>G110^2*Sheet!$F$67</f>
        <v>283.76435721203455</v>
      </c>
      <c r="I110" s="131">
        <f>G110*Sheet!$D$77</f>
        <v>15.930779895749058</v>
      </c>
      <c r="J110" s="131">
        <f t="shared" si="5"/>
        <v>6818.6393083789526</v>
      </c>
      <c r="K110" s="131">
        <f t="shared" si="6"/>
        <v>1.8222693025421932E-4</v>
      </c>
      <c r="L110" s="131">
        <f t="shared" si="7"/>
        <v>10.884647856767451</v>
      </c>
    </row>
    <row r="111" spans="1:12" x14ac:dyDescent="0.2">
      <c r="A111" s="131">
        <v>10.699999999999978</v>
      </c>
      <c r="B111" s="131">
        <f>Sheet!$D$5*A111*60/(Sheet!$D$7*PI())</f>
        <v>238.41410475165873</v>
      </c>
      <c r="C111" s="131">
        <f>MAX((Sheet!$F$35*(SQRT(Sheet!$D$33)*SQRT(2))*(2*Sheet!$D$32*Sheet!$F$25*B111/60*Sheet!$D$30/1000*Sheet!$D$31/1000)*(Sheet!$D$11/Sheet!$D$33))-1.4,0)</f>
        <v>519.68999999999892</v>
      </c>
      <c r="D111" s="131">
        <f>(Sheet!$D$41^4*Sheet!$D$32^2*Sheet!$F$25^2*B111^2*Sheet!$D$13*0.001*Sheet!$D$11*2*Sheet!$F$35*Sheet!$D$43*PI())/(144*10^8*Sheet!$D$65)</f>
        <v>132.7180387020837</v>
      </c>
      <c r="E111" s="131">
        <f>A111^3*Sheet!$D$75/2*Sheet!$D$7^2/4*PI()*Sheet!$D$76/100</f>
        <v>7455.6734011701474</v>
      </c>
      <c r="F111" s="131">
        <f t="shared" si="4"/>
        <v>7322.9553624680639</v>
      </c>
      <c r="G111" s="131">
        <f>IF(F111=0,0,SQRT((C111^2+2*F111*Sheet!$F$67)/(2*Sheet!$F$67^2)-SQRT((C111^2+2*F111*Sheet!$F$67)^2/(4*Sheet!$F$67^4)-(F111^2/Sheet!$F$67^2))))</f>
        <v>13.52433249189564</v>
      </c>
      <c r="H111" s="131">
        <f>G111^2*Sheet!$F$67</f>
        <v>294.49500975494425</v>
      </c>
      <c r="I111" s="131">
        <f>G111*Sheet!$D$77</f>
        <v>16.229198990274767</v>
      </c>
      <c r="J111" s="131">
        <f t="shared" si="5"/>
        <v>7012.2311537228443</v>
      </c>
      <c r="K111" s="131">
        <f t="shared" si="6"/>
        <v>1.5838740726152194E-4</v>
      </c>
      <c r="L111" s="131">
        <f t="shared" si="7"/>
        <v>9.7292862172360941</v>
      </c>
    </row>
    <row r="112" spans="1:12" x14ac:dyDescent="0.2">
      <c r="A112" s="131">
        <v>10.799999999999978</v>
      </c>
      <c r="B112" s="131">
        <f>Sheet!$D$5*A112*60/(Sheet!$D$7*PI())</f>
        <v>240.64227395494524</v>
      </c>
      <c r="C112" s="131">
        <f>MAX((Sheet!$F$35*(SQRT(Sheet!$D$33)*SQRT(2))*(2*Sheet!$D$32*Sheet!$F$25*B112/60*Sheet!$D$30/1000*Sheet!$D$31/1000)*(Sheet!$D$11/Sheet!$D$33))-1.4,0)</f>
        <v>524.55999999999892</v>
      </c>
      <c r="D112" s="131">
        <f>(Sheet!$D$41^4*Sheet!$D$32^2*Sheet!$F$25^2*B112^2*Sheet!$D$13*0.001*Sheet!$D$11*2*Sheet!$F$35*Sheet!$D$43*PI())/(144*10^8*Sheet!$D$65)</f>
        <v>135.2103418133552</v>
      </c>
      <c r="E112" s="131">
        <f>A112^3*Sheet!$D$75/2*Sheet!$D$7^2/4*PI()*Sheet!$D$76/100</f>
        <v>7666.6706813841247</v>
      </c>
      <c r="F112" s="131">
        <f t="shared" si="4"/>
        <v>7531.4603395707691</v>
      </c>
      <c r="G112" s="131">
        <f>IF(F112=0,0,SQRT((C112^2+2*F112*Sheet!$F$67)/(2*Sheet!$F$67^2)-SQRT((C112^2+2*F112*Sheet!$F$67)^2/(4*Sheet!$F$67^4)-(F112^2/Sheet!$F$67^2))))</f>
        <v>13.775234643784035</v>
      </c>
      <c r="H112" s="131">
        <f>G112^2*Sheet!$F$67</f>
        <v>305.52325482751746</v>
      </c>
      <c r="I112" s="131">
        <f>G112*Sheet!$D$77</f>
        <v>16.53028157254084</v>
      </c>
      <c r="J112" s="131">
        <f t="shared" si="5"/>
        <v>7209.4068031707111</v>
      </c>
      <c r="K112" s="131">
        <f t="shared" si="6"/>
        <v>1.3737208412802201E-4</v>
      </c>
      <c r="L112" s="131">
        <f t="shared" si="7"/>
        <v>8.6756520438139191</v>
      </c>
    </row>
    <row r="113" spans="1:12" x14ac:dyDescent="0.2">
      <c r="A113" s="131">
        <v>10.899999999999977</v>
      </c>
      <c r="B113" s="131">
        <f>Sheet!$D$5*A113*60/(Sheet!$D$7*PI())</f>
        <v>242.87044315823181</v>
      </c>
      <c r="C113" s="131">
        <f>MAX((Sheet!$F$35*(SQRT(Sheet!$D$33)*SQRT(2))*(2*Sheet!$D$32*Sheet!$F$25*B113/60*Sheet!$D$30/1000*Sheet!$D$31/1000)*(Sheet!$D$11/Sheet!$D$33))-1.4,0)</f>
        <v>529.42999999999904</v>
      </c>
      <c r="D113" s="131">
        <f>(Sheet!$D$41^4*Sheet!$D$32^2*Sheet!$F$25^2*B113^2*Sheet!$D$13*0.001*Sheet!$D$11*2*Sheet!$F$35*Sheet!$D$43*PI())/(144*10^8*Sheet!$D$65)</f>
        <v>137.72582913961543</v>
      </c>
      <c r="E113" s="131">
        <f>A113^3*Sheet!$D$75/2*Sheet!$D$7^2/4*PI()*Sheet!$D$76/100</f>
        <v>7881.6117222366665</v>
      </c>
      <c r="F113" s="131">
        <f t="shared" si="4"/>
        <v>7743.8858930970509</v>
      </c>
      <c r="G113" s="131">
        <f>IF(F113=0,0,SQRT((C113^2+2*F113*Sheet!$F$67)/(2*Sheet!$F$67^2)-SQRT((C113^2+2*F113*Sheet!$F$67)^2/(4*Sheet!$F$67^4)-(F113^2/Sheet!$F$67^2))))</f>
        <v>14.028354121107691</v>
      </c>
      <c r="H113" s="131">
        <f>G113^2*Sheet!$F$67</f>
        <v>316.85437075898153</v>
      </c>
      <c r="I113" s="131">
        <f>G113*Sheet!$D$77</f>
        <v>16.834024945329229</v>
      </c>
      <c r="J113" s="131">
        <f t="shared" si="5"/>
        <v>7410.1974973927399</v>
      </c>
      <c r="K113" s="131">
        <f t="shared" si="6"/>
        <v>1.1888957671641394E-4</v>
      </c>
      <c r="L113" s="131">
        <f t="shared" si="7"/>
        <v>7.7175183361264628</v>
      </c>
    </row>
    <row r="114" spans="1:12" x14ac:dyDescent="0.2">
      <c r="A114" s="131">
        <v>10.999999999999977</v>
      </c>
      <c r="B114" s="131">
        <f>Sheet!$D$5*A114*60/(Sheet!$D$7*PI())</f>
        <v>245.09861236151835</v>
      </c>
      <c r="C114" s="131">
        <f>MAX((Sheet!$F$35*(SQRT(Sheet!$D$33)*SQRT(2))*(2*Sheet!$D$32*Sheet!$F$25*B114/60*Sheet!$D$30/1000*Sheet!$D$31/1000)*(Sheet!$D$11/Sheet!$D$33))-1.4,0)</f>
        <v>534.29999999999905</v>
      </c>
      <c r="D114" s="131">
        <f>(Sheet!$D$41^4*Sheet!$D$32^2*Sheet!$F$25^2*B114^2*Sheet!$D$13*0.001*Sheet!$D$11*2*Sheet!$F$35*Sheet!$D$43*PI())/(144*10^8*Sheet!$D$65)</f>
        <v>140.26450068086407</v>
      </c>
      <c r="E114" s="131">
        <f>A114^3*Sheet!$D$75/2*Sheet!$D$7^2/4*PI()*Sheet!$D$76/100</f>
        <v>8100.5330400299954</v>
      </c>
      <c r="F114" s="131">
        <f t="shared" si="4"/>
        <v>7960.2685393491311</v>
      </c>
      <c r="G114" s="131">
        <f>IF(F114=0,0,SQRT((C114^2+2*F114*Sheet!$F$67)/(2*Sheet!$F$67^2)-SQRT((C114^2+2*F114*Sheet!$F$67)^2/(4*Sheet!$F$67^4)-(F114^2/Sheet!$F$67^2))))</f>
        <v>14.283688682363014</v>
      </c>
      <c r="H114" s="131">
        <f>G114^2*Sheet!$F$67</f>
        <v>328.49367636258472</v>
      </c>
      <c r="I114" s="131">
        <f>G114*Sheet!$D$77</f>
        <v>17.140426418835617</v>
      </c>
      <c r="J114" s="131">
        <f t="shared" si="5"/>
        <v>7614.6344365677105</v>
      </c>
      <c r="K114" s="131">
        <f t="shared" si="6"/>
        <v>1.0267252225057576E-4</v>
      </c>
      <c r="L114" s="131">
        <f t="shared" si="7"/>
        <v>6.8486882188980491</v>
      </c>
    </row>
    <row r="115" spans="1:12" x14ac:dyDescent="0.2">
      <c r="A115" s="131">
        <v>11.099999999999977</v>
      </c>
      <c r="B115" s="131">
        <f>Sheet!$D$5*A115*60/(Sheet!$D$7*PI())</f>
        <v>247.32678156480483</v>
      </c>
      <c r="C115" s="131">
        <f>MAX((Sheet!$F$35*(SQRT(Sheet!$D$33)*SQRT(2))*(2*Sheet!$D$32*Sheet!$F$25*B115/60*Sheet!$D$30/1000*Sheet!$D$31/1000)*(Sheet!$D$11/Sheet!$D$33))-1.4,0)</f>
        <v>539.16999999999894</v>
      </c>
      <c r="D115" s="131">
        <f>(Sheet!$D$41^4*Sheet!$D$32^2*Sheet!$F$25^2*B115^2*Sheet!$D$13*0.001*Sheet!$D$11*2*Sheet!$F$35*Sheet!$D$43*PI())/(144*10^8*Sheet!$D$65)</f>
        <v>142.82635643710131</v>
      </c>
      <c r="E115" s="131">
        <f>A115^3*Sheet!$D$75/2*Sheet!$D$7^2/4*PI()*Sheet!$D$76/100</f>
        <v>8323.4711510663128</v>
      </c>
      <c r="F115" s="131">
        <f t="shared" si="4"/>
        <v>8180.6447946292119</v>
      </c>
      <c r="G115" s="131">
        <f>IF(F115=0,0,SQRT((C115^2+2*F115*Sheet!$F$67)/(2*Sheet!$F$67^2)-SQRT((C115^2+2*F115*Sheet!$F$67)^2/(4*Sheet!$F$67^4)-(F115^2/Sheet!$F$67^2))))</f>
        <v>14.541236092196915</v>
      </c>
      <c r="H115" s="131">
        <f>G115^2*Sheet!$F$67</f>
        <v>340.44653079951655</v>
      </c>
      <c r="I115" s="131">
        <f>G115*Sheet!$D$77</f>
        <v>17.449483310636296</v>
      </c>
      <c r="J115" s="131">
        <f t="shared" si="5"/>
        <v>7822.7487805190585</v>
      </c>
      <c r="K115" s="131">
        <f t="shared" si="6"/>
        <v>8.8476417657189782E-5</v>
      </c>
      <c r="L115" s="131">
        <f t="shared" si="7"/>
        <v>6.0630481857924927</v>
      </c>
    </row>
    <row r="116" spans="1:12" x14ac:dyDescent="0.2">
      <c r="A116" s="131">
        <v>11.199999999999976</v>
      </c>
      <c r="B116" s="131">
        <f>Sheet!$D$5*A116*60/(Sheet!$D$7*PI())</f>
        <v>249.55495076809137</v>
      </c>
      <c r="C116" s="131">
        <f>MAX((Sheet!$F$35*(SQRT(Sheet!$D$33)*SQRT(2))*(2*Sheet!$D$32*Sheet!$F$25*B116/60*Sheet!$D$30/1000*Sheet!$D$31/1000)*(Sheet!$D$11/Sheet!$D$33))-1.4,0)</f>
        <v>544.03999999999894</v>
      </c>
      <c r="D116" s="131">
        <f>(Sheet!$D$41^4*Sheet!$D$32^2*Sheet!$F$25^2*B116^2*Sheet!$D$13*0.001*Sheet!$D$11*2*Sheet!$F$35*Sheet!$D$43*PI())/(144*10^8*Sheet!$D$65)</f>
        <v>145.41139640832716</v>
      </c>
      <c r="E116" s="131">
        <f>A116^3*Sheet!$D$75/2*Sheet!$D$7^2/4*PI()*Sheet!$D$76/100</f>
        <v>8550.4625716478295</v>
      </c>
      <c r="F116" s="131">
        <f t="shared" si="4"/>
        <v>8405.0511752395032</v>
      </c>
      <c r="G116" s="131">
        <f>IF(F116=0,0,SQRT((C116^2+2*F116*Sheet!$F$67)/(2*Sheet!$F$67^2)-SQRT((C116^2+2*F116*Sheet!$F$67)^2/(4*Sheet!$F$67^4)-(F116^2/Sheet!$F$67^2))))</f>
        <v>14.800994121380594</v>
      </c>
      <c r="H116" s="131">
        <f>G116^2*Sheet!$F$67</f>
        <v>352.71833344357776</v>
      </c>
      <c r="I116" s="131">
        <f>G116*Sheet!$D$77</f>
        <v>17.761192945656713</v>
      </c>
      <c r="J116" s="131">
        <f t="shared" si="5"/>
        <v>8034.5716488502685</v>
      </c>
      <c r="K116" s="131">
        <f t="shared" si="6"/>
        <v>7.6078398699439633E-5</v>
      </c>
      <c r="L116" s="131">
        <f t="shared" si="7"/>
        <v>5.3546143446566967</v>
      </c>
    </row>
    <row r="117" spans="1:12" x14ac:dyDescent="0.2">
      <c r="A117" s="131">
        <v>11.299999999999976</v>
      </c>
      <c r="B117" s="131">
        <f>Sheet!$D$5*A117*60/(Sheet!$D$7*PI())</f>
        <v>251.78311997137786</v>
      </c>
      <c r="C117" s="131">
        <f>MAX((Sheet!$F$35*(SQRT(Sheet!$D$33)*SQRT(2))*(2*Sheet!$D$32*Sheet!$F$25*B117/60*Sheet!$D$30/1000*Sheet!$D$31/1000)*(Sheet!$D$11/Sheet!$D$33))-1.4,0)</f>
        <v>548.90999999999883</v>
      </c>
      <c r="D117" s="131">
        <f>(Sheet!$D$41^4*Sheet!$D$32^2*Sheet!$F$25^2*B117^2*Sheet!$D$13*0.001*Sheet!$D$11*2*Sheet!$F$35*Sheet!$D$43*PI())/(144*10^8*Sheet!$D$65)</f>
        <v>148.01962059454149</v>
      </c>
      <c r="E117" s="131">
        <f>A117^3*Sheet!$D$75/2*Sheet!$D$7^2/4*PI()*Sheet!$D$76/100</f>
        <v>8781.5438180767542</v>
      </c>
      <c r="F117" s="131">
        <f t="shared" si="4"/>
        <v>8633.5241974822129</v>
      </c>
      <c r="G117" s="131">
        <f>IF(F117=0,0,SQRT((C117^2+2*F117*Sheet!$F$67)/(2*Sheet!$F$67^2)-SQRT((C117^2+2*F117*Sheet!$F$67)^2/(4*Sheet!$F$67^4)-(F117^2/Sheet!$F$67^2))))</f>
        <v>15.062960546785135</v>
      </c>
      <c r="H117" s="131">
        <f>G117^2*Sheet!$F$67</f>
        <v>365.31452374662399</v>
      </c>
      <c r="I117" s="131">
        <f>G117*Sheet!$D$77</f>
        <v>18.075552656142161</v>
      </c>
      <c r="J117" s="131">
        <f t="shared" si="5"/>
        <v>8250.1341210794471</v>
      </c>
      <c r="K117" s="131">
        <f t="shared" si="6"/>
        <v>6.5275981113548559E-5</v>
      </c>
      <c r="L117" s="131">
        <f t="shared" si="7"/>
        <v>4.7175718478691833</v>
      </c>
    </row>
    <row r="118" spans="1:12" x14ac:dyDescent="0.2">
      <c r="A118" s="131">
        <v>11.399999999999975</v>
      </c>
      <c r="B118" s="131">
        <f>Sheet!$D$5*A118*60/(Sheet!$D$7*PI())</f>
        <v>254.01128917466443</v>
      </c>
      <c r="C118" s="131">
        <f>MAX((Sheet!$F$35*(SQRT(Sheet!$D$33)*SQRT(2))*(2*Sheet!$D$32*Sheet!$F$25*B118/60*Sheet!$D$30/1000*Sheet!$D$31/1000)*(Sheet!$D$11/Sheet!$D$33))-1.4,0)</f>
        <v>553.77999999999895</v>
      </c>
      <c r="D118" s="131">
        <f>(Sheet!$D$41^4*Sheet!$D$32^2*Sheet!$F$25^2*B118^2*Sheet!$D$13*0.001*Sheet!$D$11*2*Sheet!$F$35*Sheet!$D$43*PI())/(144*10^8*Sheet!$D$65)</f>
        <v>150.65102899574455</v>
      </c>
      <c r="E118" s="131">
        <f>A118^3*Sheet!$D$75/2*Sheet!$D$7^2/4*PI()*Sheet!$D$76/100</f>
        <v>9016.751406655294</v>
      </c>
      <c r="F118" s="131">
        <f t="shared" si="4"/>
        <v>8866.1003776595498</v>
      </c>
      <c r="G118" s="131">
        <f>IF(F118=0,0,SQRT((C118^2+2*F118*Sheet!$F$67)/(2*Sheet!$F$67^2)-SQRT((C118^2+2*F118*Sheet!$F$67)^2/(4*Sheet!$F$67^4)-(F118^2/Sheet!$F$67^2))))</f>
        <v>15.327133151350973</v>
      </c>
      <c r="H118" s="131">
        <f>G118^2*Sheet!$F$67</f>
        <v>378.24058110439552</v>
      </c>
      <c r="I118" s="131">
        <f>G118*Sheet!$D$77</f>
        <v>18.392559781621166</v>
      </c>
      <c r="J118" s="131">
        <f t="shared" si="5"/>
        <v>8469.4672367735329</v>
      </c>
      <c r="K118" s="131">
        <f t="shared" si="6"/>
        <v>5.5885782682648637E-5</v>
      </c>
      <c r="L118" s="131">
        <f t="shared" si="7"/>
        <v>4.146307775585532</v>
      </c>
    </row>
    <row r="119" spans="1:12" x14ac:dyDescent="0.2">
      <c r="A119" s="131">
        <v>11.499999999999975</v>
      </c>
      <c r="B119" s="131">
        <f>Sheet!$D$5*A119*60/(Sheet!$D$7*PI())</f>
        <v>256.239458377951</v>
      </c>
      <c r="C119" s="131">
        <f>MAX((Sheet!$F$35*(SQRT(Sheet!$D$33)*SQRT(2))*(2*Sheet!$D$32*Sheet!$F$25*B119/60*Sheet!$D$30/1000*Sheet!$D$31/1000)*(Sheet!$D$11/Sheet!$D$33))-1.4,0)</f>
        <v>558.64999999999907</v>
      </c>
      <c r="D119" s="131">
        <f>(Sheet!$D$41^4*Sheet!$D$32^2*Sheet!$F$25^2*B119^2*Sheet!$D$13*0.001*Sheet!$D$11*2*Sheet!$F$35*Sheet!$D$43*PI())/(144*10^8*Sheet!$D$65)</f>
        <v>153.3056216119362</v>
      </c>
      <c r="E119" s="131">
        <f>A119^3*Sheet!$D$75/2*Sheet!$D$7^2/4*PI()*Sheet!$D$76/100</f>
        <v>9256.1218536856632</v>
      </c>
      <c r="F119" s="131">
        <f t="shared" si="4"/>
        <v>9102.8162320737265</v>
      </c>
      <c r="G119" s="131">
        <f>IF(F119=0,0,SQRT((C119^2+2*F119*Sheet!$F$67)/(2*Sheet!$F$67^2)-SQRT((C119^2+2*F119*Sheet!$F$67)^2/(4*Sheet!$F$67^4)-(F119^2/Sheet!$F$67^2))))</f>
        <v>15.593509724067234</v>
      </c>
      <c r="H119" s="131">
        <f>G119^2*Sheet!$F$67</f>
        <v>391.50202472349525</v>
      </c>
      <c r="I119" s="131">
        <f>G119*Sheet!$D$77</f>
        <v>18.712211668880681</v>
      </c>
      <c r="J119" s="131">
        <f t="shared" si="5"/>
        <v>8692.6019956813507</v>
      </c>
      <c r="K119" s="131">
        <f t="shared" si="6"/>
        <v>4.7742242925459633E-5</v>
      </c>
      <c r="L119" s="131">
        <f t="shared" si="7"/>
        <v>3.6354378093176716</v>
      </c>
    </row>
    <row r="120" spans="1:12" x14ac:dyDescent="0.2">
      <c r="A120" s="131">
        <v>11.599999999999975</v>
      </c>
      <c r="B120" s="131">
        <f>Sheet!$D$5*A120*60/(Sheet!$D$7*PI())</f>
        <v>258.46762758123748</v>
      </c>
      <c r="C120" s="131">
        <f>MAX((Sheet!$F$35*(SQRT(Sheet!$D$33)*SQRT(2))*(2*Sheet!$D$32*Sheet!$F$25*B120/60*Sheet!$D$30/1000*Sheet!$D$31/1000)*(Sheet!$D$11/Sheet!$D$33))-1.4,0)</f>
        <v>563.51999999999873</v>
      </c>
      <c r="D120" s="131">
        <f>(Sheet!$D$41^4*Sheet!$D$32^2*Sheet!$F$25^2*B120^2*Sheet!$D$13*0.001*Sheet!$D$11*2*Sheet!$F$35*Sheet!$D$43*PI())/(144*10^8*Sheet!$D$65)</f>
        <v>155.98339844311624</v>
      </c>
      <c r="E120" s="131">
        <f>A120^3*Sheet!$D$75/2*Sheet!$D$7^2/4*PI()*Sheet!$D$76/100</f>
        <v>9499.6916754700633</v>
      </c>
      <c r="F120" s="131">
        <f t="shared" si="4"/>
        <v>9343.7082770269462</v>
      </c>
      <c r="G120" s="131">
        <f>IF(F120=0,0,SQRT((C120^2+2*F120*Sheet!$F$67)/(2*Sheet!$F$67^2)-SQRT((C120^2+2*F120*Sheet!$F$67)^2/(4*Sheet!$F$67^4)-(F120^2/Sheet!$F$67^2))))</f>
        <v>15.862088059941785</v>
      </c>
      <c r="H120" s="131">
        <f>G120^2*Sheet!$F$67</f>
        <v>405.10441348858922</v>
      </c>
      <c r="I120" s="131">
        <f>G120*Sheet!$D$77</f>
        <v>19.034505671930141</v>
      </c>
      <c r="J120" s="131">
        <f t="shared" si="5"/>
        <v>8919.5693578664268</v>
      </c>
      <c r="K120" s="131">
        <f t="shared" si="6"/>
        <v>4.069635487395097E-5</v>
      </c>
      <c r="L120" s="131">
        <f t="shared" si="7"/>
        <v>3.1798270888164271</v>
      </c>
    </row>
    <row r="121" spans="1:12" x14ac:dyDescent="0.2">
      <c r="A121" s="131">
        <v>11.699999999999974</v>
      </c>
      <c r="B121" s="131">
        <f>Sheet!$D$5*A121*60/(Sheet!$D$7*PI())</f>
        <v>260.69579678452396</v>
      </c>
      <c r="C121" s="131">
        <f>MAX((Sheet!$F$35*(SQRT(Sheet!$D$33)*SQRT(2))*(2*Sheet!$D$32*Sheet!$F$25*B121/60*Sheet!$D$30/1000*Sheet!$D$31/1000)*(Sheet!$D$11/Sheet!$D$33))-1.4,0)</f>
        <v>568.38999999999862</v>
      </c>
      <c r="D121" s="131">
        <f>(Sheet!$D$41^4*Sheet!$D$32^2*Sheet!$F$25^2*B121^2*Sheet!$D$13*0.001*Sheet!$D$11*2*Sheet!$F$35*Sheet!$D$43*PI())/(144*10^8*Sheet!$D$65)</f>
        <v>158.68435948928487</v>
      </c>
      <c r="E121" s="131">
        <f>A121^3*Sheet!$D$75/2*Sheet!$D$7^2/4*PI()*Sheet!$D$76/100</f>
        <v>9747.4973883107104</v>
      </c>
      <c r="F121" s="131">
        <f t="shared" si="4"/>
        <v>9588.8130288214252</v>
      </c>
      <c r="G121" s="131">
        <f>IF(F121=0,0,SQRT((C121^2+2*F121*Sheet!$F$67)/(2*Sheet!$F$67^2)-SQRT((C121^2+2*F121*Sheet!$F$67)^2/(4*Sheet!$F$67^4)-(F121^2/Sheet!$F$67^2))))</f>
        <v>16.13286595997624</v>
      </c>
      <c r="H121" s="131">
        <f>G121^2*Sheet!$F$67</f>
        <v>419.05334583050922</v>
      </c>
      <c r="I121" s="131">
        <f>G121*Sheet!$D$77</f>
        <v>19.359439151971486</v>
      </c>
      <c r="J121" s="131">
        <f t="shared" si="5"/>
        <v>9150.4002438389452</v>
      </c>
      <c r="K121" s="131">
        <f t="shared" si="6"/>
        <v>3.461442129351762E-5</v>
      </c>
      <c r="L121" s="131">
        <f t="shared" si="7"/>
        <v>2.7746056872302374</v>
      </c>
    </row>
    <row r="122" spans="1:12" x14ac:dyDescent="0.2">
      <c r="A122" s="131">
        <v>11.799999999999974</v>
      </c>
      <c r="B122" s="131">
        <f>Sheet!$D$5*A122*60/(Sheet!$D$7*PI())</f>
        <v>262.9239659878105</v>
      </c>
      <c r="C122" s="131">
        <f>MAX((Sheet!$F$35*(SQRT(Sheet!$D$33)*SQRT(2))*(2*Sheet!$D$32*Sheet!$F$25*B122/60*Sheet!$D$30/1000*Sheet!$D$31/1000)*(Sheet!$D$11/Sheet!$D$33))-1.4,0)</f>
        <v>573.25999999999874</v>
      </c>
      <c r="D122" s="131">
        <f>(Sheet!$D$41^4*Sheet!$D$32^2*Sheet!$F$25^2*B122^2*Sheet!$D$13*0.001*Sheet!$D$11*2*Sheet!$F$35*Sheet!$D$43*PI())/(144*10^8*Sheet!$D$65)</f>
        <v>161.40850475044218</v>
      </c>
      <c r="E122" s="131">
        <f>A122^3*Sheet!$D$75/2*Sheet!$D$7^2/4*PI()*Sheet!$D$76/100</f>
        <v>9999.5755085098117</v>
      </c>
      <c r="F122" s="131">
        <f t="shared" si="4"/>
        <v>9838.1670037593703</v>
      </c>
      <c r="G122" s="131">
        <f>IF(F122=0,0,SQRT((C122^2+2*F122*Sheet!$F$67)/(2*Sheet!$F$67^2)-SQRT((C122^2+2*F122*Sheet!$F$67)^2/(4*Sheet!$F$67^4)-(F122^2/Sheet!$F$67^2))))</f>
        <v>16.405841231142361</v>
      </c>
      <c r="H122" s="131">
        <f>G122^2*Sheet!$F$67</f>
        <v>433.3544595950936</v>
      </c>
      <c r="I122" s="131">
        <f>G122*Sheet!$D$77</f>
        <v>19.687009477370832</v>
      </c>
      <c r="J122" s="131">
        <f t="shared" si="5"/>
        <v>9385.1255346869057</v>
      </c>
      <c r="K122" s="131">
        <f t="shared" si="6"/>
        <v>2.9376845684945416E-5</v>
      </c>
      <c r="L122" s="131">
        <f t="shared" si="7"/>
        <v>2.4151791688011217</v>
      </c>
    </row>
    <row r="123" spans="1:12" x14ac:dyDescent="0.2">
      <c r="A123" s="131">
        <v>11.899999999999974</v>
      </c>
      <c r="B123" s="131">
        <f>Sheet!$D$5*A123*60/(Sheet!$D$7*PI())</f>
        <v>265.15213519109705</v>
      </c>
      <c r="C123" s="131">
        <f>MAX((Sheet!$F$35*(SQRT(Sheet!$D$33)*SQRT(2))*(2*Sheet!$D$32*Sheet!$F$25*B123/60*Sheet!$D$30/1000*Sheet!$D$31/1000)*(Sheet!$D$11/Sheet!$D$33))-1.4,0)</f>
        <v>578.12999999999863</v>
      </c>
      <c r="D123" s="131">
        <f>(Sheet!$D$41^4*Sheet!$D$32^2*Sheet!$F$25^2*B123^2*Sheet!$D$13*0.001*Sheet!$D$11*2*Sheet!$F$35*Sheet!$D$43*PI())/(144*10^8*Sheet!$D$65)</f>
        <v>164.15583422658807</v>
      </c>
      <c r="E123" s="131">
        <f>A123^3*Sheet!$D$75/2*Sheet!$D$7^2/4*PI()*Sheet!$D$76/100</f>
        <v>10255.962552369572</v>
      </c>
      <c r="F123" s="131">
        <f t="shared" si="4"/>
        <v>10091.806718142983</v>
      </c>
      <c r="G123" s="131">
        <f>IF(F123=0,0,SQRT((C123^2+2*F123*Sheet!$F$67)/(2*Sheet!$F$67^2)-SQRT((C123^2+2*F123*Sheet!$F$67)^2/(4*Sheet!$F$67^4)-(F123^2/Sheet!$F$67^2))))</f>
        <v>16.681011686351724</v>
      </c>
      <c r="H123" s="131">
        <f>G123^2*Sheet!$F$67</f>
        <v>448.01343191233195</v>
      </c>
      <c r="I123" s="131">
        <f>G123*Sheet!$D$77</f>
        <v>20.017214023622067</v>
      </c>
      <c r="J123" s="131">
        <f t="shared" si="5"/>
        <v>9623.7760722070288</v>
      </c>
      <c r="K123" s="131">
        <f t="shared" si="6"/>
        <v>2.4876966518267855E-5</v>
      </c>
      <c r="L123" s="131">
        <f t="shared" si="7"/>
        <v>2.0972347109177898</v>
      </c>
    </row>
    <row r="124" spans="1:12" x14ac:dyDescent="0.2">
      <c r="A124" s="131">
        <v>11.999999999999973</v>
      </c>
      <c r="B124" s="131">
        <f>Sheet!$D$5*A124*60/(Sheet!$D$7*PI())</f>
        <v>267.38030439438359</v>
      </c>
      <c r="C124" s="131">
        <f>MAX((Sheet!$F$35*(SQRT(Sheet!$D$33)*SQRT(2))*(2*Sheet!$D$32*Sheet!$F$25*B124/60*Sheet!$D$30/1000*Sheet!$D$31/1000)*(Sheet!$D$11/Sheet!$D$33))-1.4,0)</f>
        <v>582.99999999999875</v>
      </c>
      <c r="D124" s="131">
        <f>(Sheet!$D$41^4*Sheet!$D$32^2*Sheet!$F$25^2*B124^2*Sheet!$D$13*0.001*Sheet!$D$11*2*Sheet!$F$35*Sheet!$D$43*PI())/(144*10^8*Sheet!$D$65)</f>
        <v>166.92634791772247</v>
      </c>
      <c r="E124" s="131">
        <f>A124^3*Sheet!$D$75/2*Sheet!$D$7^2/4*PI()*Sheet!$D$76/100</f>
        <v>10516.695036192208</v>
      </c>
      <c r="F124" s="131">
        <f t="shared" si="4"/>
        <v>10349.768688274486</v>
      </c>
      <c r="G124" s="131">
        <f>IF(F124=0,0,SQRT((C124^2+2*F124*Sheet!$F$67)/(2*Sheet!$F$67^2)-SQRT((C124^2+2*F124*Sheet!$F$67)^2/(4*Sheet!$F$67^4)-(F124^2/Sheet!$F$67^2))))</f>
        <v>16.958375144438811</v>
      </c>
      <c r="H124" s="131">
        <f>G124^2*Sheet!$F$67</f>
        <v>463.03597906687031</v>
      </c>
      <c r="I124" s="131">
        <f>G124*Sheet!$D$77</f>
        <v>20.350050173326572</v>
      </c>
      <c r="J124" s="131">
        <f t="shared" si="5"/>
        <v>9866.3826590342887</v>
      </c>
      <c r="K124" s="131">
        <f t="shared" si="6"/>
        <v>2.1019941398388114E-5</v>
      </c>
      <c r="L124" s="131">
        <f t="shared" si="7"/>
        <v>1.8167432792890872</v>
      </c>
    </row>
    <row r="125" spans="1:12" x14ac:dyDescent="0.2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</row>
    <row r="126" spans="1:12" x14ac:dyDescent="0.2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</row>
    <row r="127" spans="1:12" x14ac:dyDescent="0.2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</row>
    <row r="128" spans="1:12" x14ac:dyDescent="0.2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</row>
    <row r="129" spans="1:10" x14ac:dyDescent="0.2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</row>
    <row r="130" spans="1:10" x14ac:dyDescent="0.2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</row>
    <row r="131" spans="1:10" x14ac:dyDescent="0.2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</row>
    <row r="132" spans="1:10" x14ac:dyDescent="0.2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</row>
    <row r="133" spans="1:10" x14ac:dyDescent="0.2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</row>
    <row r="134" spans="1:10" x14ac:dyDescent="0.2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</row>
    <row r="135" spans="1:10" x14ac:dyDescent="0.2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</row>
    <row r="136" spans="1:10" x14ac:dyDescent="0.2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</row>
    <row r="137" spans="1:10" x14ac:dyDescent="0.2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</row>
    <row r="138" spans="1:10" x14ac:dyDescent="0.2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</row>
    <row r="139" spans="1:10" x14ac:dyDescent="0.2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</row>
    <row r="140" spans="1:10" x14ac:dyDescent="0.2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</row>
    <row r="141" spans="1:10" x14ac:dyDescent="0.2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</row>
    <row r="142" spans="1:10" x14ac:dyDescent="0.2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</row>
    <row r="143" spans="1:10" x14ac:dyDescent="0.2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</row>
    <row r="144" spans="1:10" x14ac:dyDescent="0.2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</row>
    <row r="145" spans="1:10" x14ac:dyDescent="0.2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</row>
    <row r="146" spans="1:10" x14ac:dyDescent="0.2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</row>
    <row r="147" spans="1:10" x14ac:dyDescent="0.2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</row>
    <row r="148" spans="1:10" x14ac:dyDescent="0.2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</row>
    <row r="149" spans="1:10" x14ac:dyDescent="0.2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</row>
    <row r="150" spans="1:10" x14ac:dyDescent="0.2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</row>
    <row r="151" spans="1:10" x14ac:dyDescent="0.2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</row>
    <row r="152" spans="1:10" x14ac:dyDescent="0.2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</row>
    <row r="153" spans="1:10" x14ac:dyDescent="0.2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</row>
    <row r="154" spans="1:10" x14ac:dyDescent="0.2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</row>
    <row r="155" spans="1:10" x14ac:dyDescent="0.2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</row>
    <row r="156" spans="1:10" x14ac:dyDescent="0.2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</row>
    <row r="157" spans="1:10" x14ac:dyDescent="0.2">
      <c r="A157" s="131"/>
      <c r="B157" s="131"/>
      <c r="C157" s="131"/>
      <c r="D157" s="131"/>
      <c r="E157" s="131"/>
      <c r="F157" s="131"/>
      <c r="G157" s="131"/>
      <c r="H157" s="131"/>
      <c r="I157" s="131"/>
      <c r="J157" s="131"/>
    </row>
    <row r="158" spans="1:10" x14ac:dyDescent="0.2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</row>
    <row r="159" spans="1:10" x14ac:dyDescent="0.2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</row>
    <row r="160" spans="1:10" x14ac:dyDescent="0.2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</row>
    <row r="161" spans="1:10" x14ac:dyDescent="0.2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</row>
    <row r="162" spans="1:10" x14ac:dyDescent="0.2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</row>
    <row r="163" spans="1:10" x14ac:dyDescent="0.2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</row>
    <row r="164" spans="1:10" x14ac:dyDescent="0.2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>
      <selection activeCell="M5" sqref="M5"/>
    </sheetView>
  </sheetViews>
  <sheetFormatPr baseColWidth="10" defaultRowHeight="12.75" x14ac:dyDescent="0.2"/>
  <cols>
    <col min="6" max="6" width="12.85546875" customWidth="1"/>
    <col min="11" max="11" width="27.140625" customWidth="1"/>
    <col min="12" max="12" width="20.85546875" customWidth="1"/>
    <col min="13" max="13" width="18.85546875" customWidth="1"/>
  </cols>
  <sheetData>
    <row r="1" spans="1:13" x14ac:dyDescent="0.2">
      <c r="K1" s="129" t="s">
        <v>129</v>
      </c>
      <c r="L1" s="129" t="s">
        <v>130</v>
      </c>
    </row>
    <row r="2" spans="1:13" x14ac:dyDescent="0.2">
      <c r="K2" s="130">
        <v>4.79</v>
      </c>
      <c r="L2" s="131">
        <v>2.4</v>
      </c>
    </row>
    <row r="3" spans="1:13" ht="15" x14ac:dyDescent="0.2">
      <c r="A3" s="129" t="s">
        <v>134</v>
      </c>
      <c r="B3" s="129" t="s">
        <v>135</v>
      </c>
      <c r="C3" s="129" t="s">
        <v>136</v>
      </c>
      <c r="D3" s="129" t="s">
        <v>138</v>
      </c>
      <c r="E3" s="129" t="s">
        <v>144</v>
      </c>
      <c r="F3" s="129" t="s">
        <v>137</v>
      </c>
      <c r="G3" s="129" t="s">
        <v>139</v>
      </c>
      <c r="H3" s="129" t="s">
        <v>140</v>
      </c>
      <c r="I3" s="129" t="s">
        <v>141</v>
      </c>
      <c r="J3" s="129" t="s">
        <v>142</v>
      </c>
      <c r="K3" s="132" t="s">
        <v>143</v>
      </c>
      <c r="L3" s="133" t="s">
        <v>131</v>
      </c>
      <c r="M3" s="133" t="s">
        <v>128</v>
      </c>
    </row>
    <row r="4" spans="1:13" x14ac:dyDescent="0.2">
      <c r="A4" s="131">
        <v>0</v>
      </c>
      <c r="B4" s="131">
        <f>Sheet!$D$5*A4*60/(Sheet!$D$7*PI())</f>
        <v>0</v>
      </c>
      <c r="C4" s="131">
        <f>MAX((Sheet!$F$37*1.414*(2*Sheet!$D$32*Sheet!$F$25*B4/60*Sheet!$D$30/1000*Sheet!$D$31/1000)*(Sheet!$D$11/Sheet!$D$33))-1.4,0)</f>
        <v>0</v>
      </c>
      <c r="D4" s="131">
        <f>(Sheet!$D$41^4*Sheet!$D$32^2*Sheet!$F$25^2*B4^2*Sheet!$D$13*0.001*Sheet!$D$11*2*PI()*Sheet!$F$37*Sheet!$D$43)/(144*10^8*Sheet!$D$65)</f>
        <v>0</v>
      </c>
      <c r="E4" s="131">
        <f>A4^3*Sheet!$D$75/2*Sheet!$D$7^2/4*PI()*Sheet!$D$76/100</f>
        <v>0</v>
      </c>
      <c r="F4" s="131">
        <f>MAX(E4-D4,0)</f>
        <v>0</v>
      </c>
      <c r="G4" s="131">
        <f>IF(F4=0,0,SQRT((C4^2+2*F4*Sheet!$F$69)/(2*Sheet!$F$69^2)-SQRT((C4^2+2*F4*Sheet!$F$69)^2/(4*Sheet!$F$69^4)-(F4^2/Sheet!$F$69^2))))</f>
        <v>0</v>
      </c>
      <c r="H4" s="131">
        <f>G4^2*Sheet!$F$69</f>
        <v>0</v>
      </c>
      <c r="I4" s="131">
        <f>G4*Sheet!$D$77</f>
        <v>0</v>
      </c>
      <c r="J4" s="131">
        <f>F4-H4-I4</f>
        <v>0</v>
      </c>
      <c r="K4" s="131">
        <f>$L$2/$K$2*(A4/$K$2)^($L$2-1)*EXP(-((A4/$K$2)^($L$2)))/10</f>
        <v>0</v>
      </c>
      <c r="L4" s="131">
        <f>J4*K4*365*24/1000</f>
        <v>0</v>
      </c>
      <c r="M4" s="131">
        <f>SUM(L4:L124)</f>
        <v>6133.3830913178735</v>
      </c>
    </row>
    <row r="5" spans="1:13" x14ac:dyDescent="0.2">
      <c r="A5" s="131">
        <v>0.1</v>
      </c>
      <c r="B5" s="131">
        <f>Sheet!$D$5*A5*60/(Sheet!$D$7*PI())</f>
        <v>2.228169203286535</v>
      </c>
      <c r="C5" s="131">
        <f>MAX((Sheet!$F$37*1.414*(2*Sheet!$D$32*Sheet!$F$25*B5/60*Sheet!$D$30/1000*Sheet!$D$31/1000)*(Sheet!$D$11/Sheet!$D$33))-1.4,0)</f>
        <v>3.470000000000002</v>
      </c>
      <c r="D5" s="131">
        <f>(Sheet!$D$41^4*Sheet!$D$32^2*Sheet!$F$25^2*B5^2*Sheet!$D$13*0.001*Sheet!$D$11*2*PI()*Sheet!$F$37*Sheet!$D$43)/(144*10^8*Sheet!$D$65)</f>
        <v>2.0081151629769731E-2</v>
      </c>
      <c r="E5" s="131">
        <f>A5^3*Sheet!$D$75/2*Sheet!$D$7^2/4*PI()*Sheet!$D$76/100</f>
        <v>6.0860503681668277E-3</v>
      </c>
      <c r="F5" s="131">
        <f t="shared" ref="F5:F68" si="0">MAX(E5-D5,0)</f>
        <v>0</v>
      </c>
      <c r="G5" s="131">
        <f>IF(F5=0,0,SQRT((C5^2+2*F5*Sheet!$F$69)/(2*Sheet!$F$69^2)-SQRT((C5^2+2*F5*Sheet!$F$69)^2/(4*Sheet!$F$69^4)-(F5^2/Sheet!$F$69^2))))</f>
        <v>0</v>
      </c>
      <c r="H5" s="131">
        <f>G5^2*Sheet!$F$69</f>
        <v>0</v>
      </c>
      <c r="I5" s="131">
        <f>G5*Sheet!$D$77</f>
        <v>0</v>
      </c>
      <c r="J5" s="131">
        <f t="shared" ref="J5:J68" si="1">F5-H5-I5</f>
        <v>0</v>
      </c>
      <c r="K5" s="131">
        <f t="shared" ref="K5:K68" si="2">$L$2/$K$2*(A5/$K$2)^($L$2-1)*EXP(-((A5/$K$2)^($L$2)))/10</f>
        <v>2.2251830328111054E-4</v>
      </c>
      <c r="L5" s="131">
        <f t="shared" ref="L5:L68" si="3">J5*K5*365*24/1000</f>
        <v>0</v>
      </c>
    </row>
    <row r="6" spans="1:13" x14ac:dyDescent="0.2">
      <c r="A6" s="131">
        <v>0.2</v>
      </c>
      <c r="B6" s="131">
        <f>Sheet!$D$5*A6*60/(Sheet!$D$7*PI())</f>
        <v>4.45633840657307</v>
      </c>
      <c r="C6" s="131">
        <f>MAX((Sheet!$F$37*1.414*(2*Sheet!$D$32*Sheet!$F$25*B6/60*Sheet!$D$30/1000*Sheet!$D$31/1000)*(Sheet!$D$11/Sheet!$D$33))-1.4,0)</f>
        <v>8.3400000000000034</v>
      </c>
      <c r="D6" s="131">
        <f>(Sheet!$D$41^4*Sheet!$D$32^2*Sheet!$F$25^2*B6^2*Sheet!$D$13*0.001*Sheet!$D$11*2*PI()*Sheet!$F$37*Sheet!$D$43)/(144*10^8*Sheet!$D$65)</f>
        <v>8.0324606519078925E-2</v>
      </c>
      <c r="E6" s="131">
        <f>A6^3*Sheet!$D$75/2*Sheet!$D$7^2/4*PI()*Sheet!$D$76/100</f>
        <v>4.8688402945334622E-2</v>
      </c>
      <c r="F6" s="131">
        <f t="shared" si="0"/>
        <v>0</v>
      </c>
      <c r="G6" s="131">
        <f>IF(F6=0,0,SQRT((C6^2+2*F6*Sheet!$F$69)/(2*Sheet!$F$69^2)-SQRT((C6^2+2*F6*Sheet!$F$69)^2/(4*Sheet!$F$69^4)-(F6^2/Sheet!$F$69^2))))</f>
        <v>0</v>
      </c>
      <c r="H6" s="131">
        <f>G6^2*Sheet!$F$69</f>
        <v>0</v>
      </c>
      <c r="I6" s="131">
        <f>G6*Sheet!$D$77</f>
        <v>0</v>
      </c>
      <c r="J6" s="131">
        <f t="shared" si="1"/>
        <v>0</v>
      </c>
      <c r="K6" s="131">
        <f t="shared" si="2"/>
        <v>5.8699642783810663E-4</v>
      </c>
      <c r="L6" s="131">
        <f t="shared" si="3"/>
        <v>0</v>
      </c>
    </row>
    <row r="7" spans="1:13" x14ac:dyDescent="0.2">
      <c r="A7" s="131">
        <v>0.30000000000000004</v>
      </c>
      <c r="B7" s="131">
        <f>Sheet!$D$5*A7*60/(Sheet!$D$7*PI())</f>
        <v>6.6845076098596055</v>
      </c>
      <c r="C7" s="131">
        <f>MAX((Sheet!$F$37*1.414*(2*Sheet!$D$32*Sheet!$F$25*B7/60*Sheet!$D$30/1000*Sheet!$D$31/1000)*(Sheet!$D$11/Sheet!$D$33))-1.4,0)</f>
        <v>13.210000000000004</v>
      </c>
      <c r="D7" s="131">
        <f>(Sheet!$D$41^4*Sheet!$D$32^2*Sheet!$F$25^2*B7^2*Sheet!$D$13*0.001*Sheet!$D$11*2*PI()*Sheet!$F$37*Sheet!$D$43)/(144*10^8*Sheet!$D$65)</f>
        <v>0.18073036466792752</v>
      </c>
      <c r="E7" s="131">
        <f>A7^3*Sheet!$D$75/2*Sheet!$D$7^2/4*PI()*Sheet!$D$76/100</f>
        <v>0.16432335994050437</v>
      </c>
      <c r="F7" s="131">
        <f t="shared" si="0"/>
        <v>0</v>
      </c>
      <c r="G7" s="131">
        <f>IF(F7=0,0,SQRT((C7^2+2*F7*Sheet!$F$69)/(2*Sheet!$F$69^2)-SQRT((C7^2+2*F7*Sheet!$F$69)^2/(4*Sheet!$F$69^4)-(F7^2/Sheet!$F$69^2))))</f>
        <v>0</v>
      </c>
      <c r="H7" s="131">
        <f>G7^2*Sheet!$F$69</f>
        <v>0</v>
      </c>
      <c r="I7" s="131">
        <f>G7*Sheet!$D$77</f>
        <v>0</v>
      </c>
      <c r="J7" s="131">
        <f t="shared" si="1"/>
        <v>0</v>
      </c>
      <c r="K7" s="131">
        <f t="shared" si="2"/>
        <v>1.0346973434108948E-3</v>
      </c>
      <c r="L7" s="131">
        <f t="shared" si="3"/>
        <v>0</v>
      </c>
    </row>
    <row r="8" spans="1:13" x14ac:dyDescent="0.2">
      <c r="A8" s="131">
        <v>0.4</v>
      </c>
      <c r="B8" s="131">
        <f>Sheet!$D$5*A8*60/(Sheet!$D$7*PI())</f>
        <v>8.91267681314614</v>
      </c>
      <c r="C8" s="131">
        <f>MAX((Sheet!$F$37*1.414*(2*Sheet!$D$32*Sheet!$F$25*B8/60*Sheet!$D$30/1000*Sheet!$D$31/1000)*(Sheet!$D$11/Sheet!$D$33))-1.4,0)</f>
        <v>18.080000000000009</v>
      </c>
      <c r="D8" s="131">
        <f>(Sheet!$D$41^4*Sheet!$D$32^2*Sheet!$F$25^2*B8^2*Sheet!$D$13*0.001*Sheet!$D$11*2*PI()*Sheet!$F$37*Sheet!$D$43)/(144*10^8*Sheet!$D$65)</f>
        <v>0.3212984260763157</v>
      </c>
      <c r="E8" s="131">
        <f>A8^3*Sheet!$D$75/2*Sheet!$D$7^2/4*PI()*Sheet!$D$76/100</f>
        <v>0.38950722356267697</v>
      </c>
      <c r="F8" s="131">
        <f t="shared" si="0"/>
        <v>6.8208797486361272E-2</v>
      </c>
      <c r="G8" s="131">
        <f>IF(F8=0,0,SQRT((C8^2+2*F8*Sheet!$F$69)/(2*Sheet!$F$69^2)-SQRT((C8^2+2*F8*Sheet!$F$69)^2/(4*Sheet!$F$69^4)-(F8^2/Sheet!$F$69^2))))</f>
        <v>3.7718788888344889E-3</v>
      </c>
      <c r="H8" s="131">
        <f>G8^2*Sheet!$F$69</f>
        <v>1.3227162884403165E-5</v>
      </c>
      <c r="I8" s="131">
        <f>G8*Sheet!$D$77</f>
        <v>4.5262546666013865E-3</v>
      </c>
      <c r="J8" s="131">
        <f t="shared" si="1"/>
        <v>6.3669315656875475E-2</v>
      </c>
      <c r="K8" s="131">
        <f t="shared" si="2"/>
        <v>1.5458529450486018E-3</v>
      </c>
      <c r="L8" s="131">
        <f t="shared" si="3"/>
        <v>8.6218897626851162E-4</v>
      </c>
    </row>
    <row r="9" spans="1:13" x14ac:dyDescent="0.2">
      <c r="A9" s="131">
        <v>0.5</v>
      </c>
      <c r="B9" s="131">
        <f>Sheet!$D$5*A9*60/(Sheet!$D$7*PI())</f>
        <v>11.140846016432674</v>
      </c>
      <c r="C9" s="131">
        <f>MAX((Sheet!$F$37*1.414*(2*Sheet!$D$32*Sheet!$F$25*B9/60*Sheet!$D$30/1000*Sheet!$D$31/1000)*(Sheet!$D$11/Sheet!$D$33))-1.4,0)</f>
        <v>22.950000000000003</v>
      </c>
      <c r="D9" s="131">
        <f>(Sheet!$D$41^4*Sheet!$D$32^2*Sheet!$F$25^2*B9^2*Sheet!$D$13*0.001*Sheet!$D$11*2*PI()*Sheet!$F$37*Sheet!$D$43)/(144*10^8*Sheet!$D$65)</f>
        <v>0.50202879074424289</v>
      </c>
      <c r="E9" s="131">
        <f>A9^3*Sheet!$D$75/2*Sheet!$D$7^2/4*PI()*Sheet!$D$76/100</f>
        <v>0.76075629602085326</v>
      </c>
      <c r="F9" s="131">
        <f t="shared" si="0"/>
        <v>0.25872750527661037</v>
      </c>
      <c r="G9" s="131">
        <f>IF(F9=0,0,SQRT((C9^2+2*F9*Sheet!$F$69)/(2*Sheet!$F$69^2)-SQRT((C9^2+2*F9*Sheet!$F$69)^2/(4*Sheet!$F$69^4)-(F9^2/Sheet!$F$69^2))))</f>
        <v>1.1268385748580287E-2</v>
      </c>
      <c r="H9" s="131">
        <f>G9^2*Sheet!$F$69</f>
        <v>1.1805234924022581E-4</v>
      </c>
      <c r="I9" s="131">
        <f>G9*Sheet!$D$77</f>
        <v>1.3522062898296343E-2</v>
      </c>
      <c r="J9" s="131">
        <f t="shared" si="1"/>
        <v>0.24508739002907379</v>
      </c>
      <c r="K9" s="131">
        <f t="shared" si="2"/>
        <v>2.1088589019401991E-3</v>
      </c>
      <c r="L9" s="131">
        <f t="shared" si="3"/>
        <v>4.5276473841330527E-3</v>
      </c>
    </row>
    <row r="10" spans="1:13" x14ac:dyDescent="0.2">
      <c r="A10" s="131">
        <v>0.6</v>
      </c>
      <c r="B10" s="131">
        <f>Sheet!$D$5*A10*60/(Sheet!$D$7*PI())</f>
        <v>13.369015219719209</v>
      </c>
      <c r="C10" s="131">
        <f>MAX((Sheet!$F$37*1.414*(2*Sheet!$D$32*Sheet!$F$25*B10/60*Sheet!$D$30/1000*Sheet!$D$31/1000)*(Sheet!$D$11/Sheet!$D$33))-1.4,0)</f>
        <v>27.820000000000004</v>
      </c>
      <c r="D10" s="131">
        <f>(Sheet!$D$41^4*Sheet!$D$32^2*Sheet!$F$25^2*B10^2*Sheet!$D$13*0.001*Sheet!$D$11*2*PI()*Sheet!$F$37*Sheet!$D$43)/(144*10^8*Sheet!$D$65)</f>
        <v>0.72292145867171009</v>
      </c>
      <c r="E10" s="131">
        <f>A10^3*Sheet!$D$75/2*Sheet!$D$7^2/4*PI()*Sheet!$D$76/100</f>
        <v>1.3145868795240343</v>
      </c>
      <c r="F10" s="131">
        <f t="shared" si="0"/>
        <v>0.59166542085232421</v>
      </c>
      <c r="G10" s="131">
        <f>IF(F10=0,0,SQRT((C10^2+2*F10*Sheet!$F$69)/(2*Sheet!$F$69^2)-SQRT((C10^2+2*F10*Sheet!$F$69)^2/(4*Sheet!$F$69^4)-(F10^2/Sheet!$F$69^2))))</f>
        <v>2.1252533966406438E-2</v>
      </c>
      <c r="H10" s="131">
        <f>G10^2*Sheet!$F$69</f>
        <v>4.1992589883321416E-4</v>
      </c>
      <c r="I10" s="131">
        <f>G10*Sheet!$D$77</f>
        <v>2.5503040759687724E-2</v>
      </c>
      <c r="J10" s="131">
        <f t="shared" si="1"/>
        <v>0.56574245419380331</v>
      </c>
      <c r="K10" s="131">
        <f t="shared" si="2"/>
        <v>2.71549636448668E-3</v>
      </c>
      <c r="L10" s="131">
        <f t="shared" si="3"/>
        <v>1.3457739019767637E-2</v>
      </c>
    </row>
    <row r="11" spans="1:13" x14ac:dyDescent="0.2">
      <c r="A11" s="131">
        <v>0.7</v>
      </c>
      <c r="B11" s="131">
        <f>Sheet!$D$5*A11*60/(Sheet!$D$7*PI())</f>
        <v>15.597184423005741</v>
      </c>
      <c r="C11" s="131">
        <f>MAX((Sheet!$F$37*1.414*(2*Sheet!$D$32*Sheet!$F$25*B11/60*Sheet!$D$30/1000*Sheet!$D$31/1000)*(Sheet!$D$11/Sheet!$D$33))-1.4,0)</f>
        <v>32.69</v>
      </c>
      <c r="D11" s="131">
        <f>(Sheet!$D$41^4*Sheet!$D$32^2*Sheet!$F$25^2*B11^2*Sheet!$D$13*0.001*Sheet!$D$11*2*PI()*Sheet!$F$37*Sheet!$D$43)/(144*10^8*Sheet!$D$65)</f>
        <v>0.98397642985871603</v>
      </c>
      <c r="E11" s="131">
        <f>A11^3*Sheet!$D$75/2*Sheet!$D$7^2/4*PI()*Sheet!$D$76/100</f>
        <v>2.0875152762812208</v>
      </c>
      <c r="F11" s="131">
        <f t="shared" si="0"/>
        <v>1.1035388464225049</v>
      </c>
      <c r="G11" s="131">
        <f>IF(F11=0,0,SQRT((C11^2+2*F11*Sheet!$F$69)/(2*Sheet!$F$69^2)-SQRT((C11^2+2*F11*Sheet!$F$69)^2/(4*Sheet!$F$69^4)-(F11^2/Sheet!$F$69^2))))</f>
        <v>3.3725340669961711E-2</v>
      </c>
      <c r="H11" s="131">
        <f>G11^2*Sheet!$F$69</f>
        <v>1.057459913962912E-3</v>
      </c>
      <c r="I11" s="131">
        <f>G11*Sheet!$D$77</f>
        <v>4.0470408803954049E-2</v>
      </c>
      <c r="J11" s="131">
        <f t="shared" si="1"/>
        <v>1.0620109777045879</v>
      </c>
      <c r="K11" s="131">
        <f t="shared" si="2"/>
        <v>3.3592767216386933E-3</v>
      </c>
      <c r="L11" s="131">
        <f t="shared" si="3"/>
        <v>3.1252077498423278E-2</v>
      </c>
    </row>
    <row r="12" spans="1:13" x14ac:dyDescent="0.2">
      <c r="A12" s="131">
        <v>0.79999999999999993</v>
      </c>
      <c r="B12" s="131">
        <f>Sheet!$D$5*A12*60/(Sheet!$D$7*PI())</f>
        <v>17.82535362629228</v>
      </c>
      <c r="C12" s="131">
        <f>MAX((Sheet!$F$37*1.414*(2*Sheet!$D$32*Sheet!$F$25*B12/60*Sheet!$D$30/1000*Sheet!$D$31/1000)*(Sheet!$D$11/Sheet!$D$33))-1.4,0)</f>
        <v>37.560000000000016</v>
      </c>
      <c r="D12" s="131">
        <f>(Sheet!$D$41^4*Sheet!$D$32^2*Sheet!$F$25^2*B12^2*Sheet!$D$13*0.001*Sheet!$D$11*2*PI()*Sheet!$F$37*Sheet!$D$43)/(144*10^8*Sheet!$D$65)</f>
        <v>1.2851937043052628</v>
      </c>
      <c r="E12" s="131">
        <f>A12^3*Sheet!$D$75/2*Sheet!$D$7^2/4*PI()*Sheet!$D$76/100</f>
        <v>3.1160577885014145</v>
      </c>
      <c r="F12" s="131">
        <f t="shared" si="0"/>
        <v>1.8308640841961517</v>
      </c>
      <c r="G12" s="131">
        <f>IF(F12=0,0,SQRT((C12^2+2*F12*Sheet!$F$69)/(2*Sheet!$F$69^2)-SQRT((C12^2+2*F12*Sheet!$F$69)^2/(4*Sheet!$F$69^4)-(F12^2/Sheet!$F$69^2))))</f>
        <v>4.8686376860356276E-2</v>
      </c>
      <c r="H12" s="131">
        <f>G12^2*Sheet!$F$69</f>
        <v>2.2037693340859182E-3</v>
      </c>
      <c r="I12" s="131">
        <f>G12*Sheet!$D$77</f>
        <v>5.8423652232427528E-2</v>
      </c>
      <c r="J12" s="131">
        <f t="shared" si="1"/>
        <v>1.7702366626296382</v>
      </c>
      <c r="K12" s="131">
        <f t="shared" si="2"/>
        <v>4.0346976140827762E-3</v>
      </c>
      <c r="L12" s="131">
        <f t="shared" si="3"/>
        <v>6.2567158038285248E-2</v>
      </c>
    </row>
    <row r="13" spans="1:13" x14ac:dyDescent="0.2">
      <c r="A13" s="131">
        <v>0.89999999999999991</v>
      </c>
      <c r="B13" s="131">
        <f>Sheet!$D$5*A13*60/(Sheet!$D$7*PI())</f>
        <v>20.05352282957881</v>
      </c>
      <c r="C13" s="131">
        <f>MAX((Sheet!$F$37*1.414*(2*Sheet!$D$32*Sheet!$F$25*B13/60*Sheet!$D$30/1000*Sheet!$D$31/1000)*(Sheet!$D$11/Sheet!$D$33))-1.4,0)</f>
        <v>42.43</v>
      </c>
      <c r="D13" s="131">
        <f>(Sheet!$D$41^4*Sheet!$D$32^2*Sheet!$F$25^2*B13^2*Sheet!$D$13*0.001*Sheet!$D$11*2*PI()*Sheet!$F$37*Sheet!$D$43)/(144*10^8*Sheet!$D$65)</f>
        <v>1.6265732820113472</v>
      </c>
      <c r="E13" s="131">
        <f>A13^3*Sheet!$D$75/2*Sheet!$D$7^2/4*PI()*Sheet!$D$76/100</f>
        <v>4.4367307183936155</v>
      </c>
      <c r="F13" s="131">
        <f t="shared" si="0"/>
        <v>2.8101574363822683</v>
      </c>
      <c r="G13" s="131">
        <f>IF(F13=0,0,SQRT((C13^2+2*F13*Sheet!$F$69)/(2*Sheet!$F$69^2)-SQRT((C13^2+2*F13*Sheet!$F$69)^2/(4*Sheet!$F$69^4)-(F13^2/Sheet!$F$69^2))))</f>
        <v>6.613459933223996E-2</v>
      </c>
      <c r="H13" s="131">
        <f>G13^2*Sheet!$F$69</f>
        <v>4.0663866988563044E-3</v>
      </c>
      <c r="I13" s="131">
        <f>G13*Sheet!$D$77</f>
        <v>7.9361519198687946E-2</v>
      </c>
      <c r="J13" s="131">
        <f t="shared" si="1"/>
        <v>2.7267295304847239</v>
      </c>
      <c r="K13" s="131">
        <f t="shared" si="2"/>
        <v>4.7368567699760927E-3</v>
      </c>
      <c r="L13" s="131">
        <f t="shared" si="3"/>
        <v>0.11314527459060379</v>
      </c>
    </row>
    <row r="14" spans="1:13" x14ac:dyDescent="0.2">
      <c r="A14" s="131">
        <v>0.99999999999999989</v>
      </c>
      <c r="B14" s="131">
        <f>Sheet!$D$5*A14*60/(Sheet!$D$7*PI())</f>
        <v>22.281692032865344</v>
      </c>
      <c r="C14" s="131">
        <f>MAX((Sheet!$F$37*1.414*(2*Sheet!$D$32*Sheet!$F$25*B14/60*Sheet!$D$30/1000*Sheet!$D$31/1000)*(Sheet!$D$11/Sheet!$D$33))-1.4,0)</f>
        <v>47.3</v>
      </c>
      <c r="D14" s="131">
        <f>(Sheet!$D$41^4*Sheet!$D$32^2*Sheet!$F$25^2*B14^2*Sheet!$D$13*0.001*Sheet!$D$11*2*PI()*Sheet!$F$37*Sheet!$D$43)/(144*10^8*Sheet!$D$65)</f>
        <v>2.0081151629769716</v>
      </c>
      <c r="E14" s="131">
        <f>A14^3*Sheet!$D$75/2*Sheet!$D$7^2/4*PI()*Sheet!$D$76/100</f>
        <v>6.0860503681668243</v>
      </c>
      <c r="F14" s="131">
        <f t="shared" si="0"/>
        <v>4.0779352051898528</v>
      </c>
      <c r="G14" s="131">
        <f>IF(F14=0,0,SQRT((C14^2+2*F14*Sheet!$F$69)/(2*Sheet!$F$69^2)-SQRT((C14^2+2*F14*Sheet!$F$69)^2/(4*Sheet!$F$69^4)-(F14^2/Sheet!$F$69^2))))</f>
        <v>8.6068668621933145E-2</v>
      </c>
      <c r="H14" s="131">
        <f>G14^2*Sheet!$F$69</f>
        <v>6.887179348928173E-3</v>
      </c>
      <c r="I14" s="131">
        <f>G14*Sheet!$D$77</f>
        <v>0.10328240234631977</v>
      </c>
      <c r="J14" s="131">
        <f t="shared" si="1"/>
        <v>3.9677656234946044</v>
      </c>
      <c r="K14" s="131">
        <f t="shared" si="2"/>
        <v>5.4612329551791215E-3</v>
      </c>
      <c r="L14" s="131">
        <f t="shared" si="3"/>
        <v>0.18981949726155076</v>
      </c>
    </row>
    <row r="15" spans="1:13" x14ac:dyDescent="0.2">
      <c r="A15" s="131">
        <v>1.0999999999999999</v>
      </c>
      <c r="B15" s="131">
        <f>Sheet!$D$5*A15*60/(Sheet!$D$7*PI())</f>
        <v>24.509861236151881</v>
      </c>
      <c r="C15" s="131">
        <f>MAX((Sheet!$F$37*1.414*(2*Sheet!$D$32*Sheet!$F$25*B15/60*Sheet!$D$30/1000*Sheet!$D$31/1000)*(Sheet!$D$11/Sheet!$D$33))-1.4,0)</f>
        <v>52.169999999999995</v>
      </c>
      <c r="D15" s="131">
        <f>(Sheet!$D$41^4*Sheet!$D$32^2*Sheet!$F$25^2*B15^2*Sheet!$D$13*0.001*Sheet!$D$11*2*PI()*Sheet!$F$37*Sheet!$D$43)/(144*10^8*Sheet!$D$65)</f>
        <v>2.4298193472021361</v>
      </c>
      <c r="E15" s="131">
        <f>A15^3*Sheet!$D$75/2*Sheet!$D$7^2/4*PI()*Sheet!$D$76/100</f>
        <v>8.1005330400300437</v>
      </c>
      <c r="F15" s="131">
        <f t="shared" si="0"/>
        <v>5.670713692827908</v>
      </c>
      <c r="G15" s="131">
        <f>IF(F15=0,0,SQRT((C15^2+2*F15*Sheet!$F$69)/(2*Sheet!$F$69^2)-SQRT((C15^2+2*F15*Sheet!$F$69)^2/(4*Sheet!$F$69^4)-(F15^2/Sheet!$F$69^2))))</f>
        <v>0.1084870888472788</v>
      </c>
      <c r="H15" s="131">
        <f>G15^2*Sheet!$F$69</f>
        <v>1.0942267649638021E-2</v>
      </c>
      <c r="I15" s="131">
        <f>G15*Sheet!$D$77</f>
        <v>0.13018450661673456</v>
      </c>
      <c r="J15" s="131">
        <f t="shared" si="1"/>
        <v>5.5295869185615354</v>
      </c>
      <c r="K15" s="131">
        <f t="shared" si="2"/>
        <v>6.2035547244652265E-3</v>
      </c>
      <c r="L15" s="131">
        <f t="shared" si="3"/>
        <v>0.3004951126641357</v>
      </c>
    </row>
    <row r="16" spans="1:13" x14ac:dyDescent="0.2">
      <c r="A16" s="131">
        <v>1.2</v>
      </c>
      <c r="B16" s="131">
        <f>Sheet!$D$5*A16*60/(Sheet!$D$7*PI())</f>
        <v>26.738030439438418</v>
      </c>
      <c r="C16" s="131">
        <f>MAX((Sheet!$F$37*1.414*(2*Sheet!$D$32*Sheet!$F$25*B16/60*Sheet!$D$30/1000*Sheet!$D$31/1000)*(Sheet!$D$11/Sheet!$D$33))-1.4,0)</f>
        <v>57.040000000000006</v>
      </c>
      <c r="D16" s="131">
        <f>(Sheet!$D$41^4*Sheet!$D$32^2*Sheet!$F$25^2*B16^2*Sheet!$D$13*0.001*Sheet!$D$11*2*PI()*Sheet!$F$37*Sheet!$D$43)/(144*10^8*Sheet!$D$65)</f>
        <v>2.8916858346868404</v>
      </c>
      <c r="E16" s="131">
        <f>A16^3*Sheet!$D$75/2*Sheet!$D$7^2/4*PI()*Sheet!$D$76/100</f>
        <v>10.516695036192274</v>
      </c>
      <c r="F16" s="131">
        <f t="shared" si="0"/>
        <v>7.625009201505434</v>
      </c>
      <c r="G16" s="131">
        <f>IF(F16=0,0,SQRT((C16^2+2*F16*Sheet!$F$69)/(2*Sheet!$F$69^2)-SQRT((C16^2+2*F16*Sheet!$F$69)^2/(4*Sheet!$F$69^4)-(F16^2/Sheet!$F$69^2))))</f>
        <v>0.13338827590622623</v>
      </c>
      <c r="H16" s="131">
        <f>G16^2*Sheet!$F$69</f>
        <v>1.6541943796177412E-2</v>
      </c>
      <c r="I16" s="131">
        <f>G16*Sheet!$D$77</f>
        <v>0.16006593108747147</v>
      </c>
      <c r="J16" s="131">
        <f t="shared" si="1"/>
        <v>7.4484013266217852</v>
      </c>
      <c r="K16" s="131">
        <f t="shared" si="2"/>
        <v>6.959719488143017E-3</v>
      </c>
      <c r="L16" s="131">
        <f t="shared" si="3"/>
        <v>0.45410774668718346</v>
      </c>
    </row>
    <row r="17" spans="1:12" x14ac:dyDescent="0.2">
      <c r="A17" s="131">
        <v>1.3</v>
      </c>
      <c r="B17" s="131">
        <f>Sheet!$D$5*A17*60/(Sheet!$D$7*PI())</f>
        <v>28.966199642724952</v>
      </c>
      <c r="C17" s="131">
        <f>MAX((Sheet!$F$37*1.414*(2*Sheet!$D$32*Sheet!$F$25*B17/60*Sheet!$D$30/1000*Sheet!$D$31/1000)*(Sheet!$D$11/Sheet!$D$33))-1.4,0)</f>
        <v>61.910000000000004</v>
      </c>
      <c r="D17" s="131">
        <f>(Sheet!$D$41^4*Sheet!$D$32^2*Sheet!$F$25^2*B17^2*Sheet!$D$13*0.001*Sheet!$D$11*2*PI()*Sheet!$F$37*Sheet!$D$43)/(144*10^8*Sheet!$D$65)</f>
        <v>3.3937146254310826</v>
      </c>
      <c r="E17" s="131">
        <f>A17^3*Sheet!$D$75/2*Sheet!$D$7^2/4*PI()*Sheet!$D$76/100</f>
        <v>13.371052658862522</v>
      </c>
      <c r="F17" s="131">
        <f t="shared" si="0"/>
        <v>9.9773380334314403</v>
      </c>
      <c r="G17" s="131">
        <f>IF(F17=0,0,SQRT((C17^2+2*F17*Sheet!$F$69)/(2*Sheet!$F$69^2)-SQRT((C17^2+2*F17*Sheet!$F$69)^2/(4*Sheet!$F$69^4)-(F17^2/Sheet!$F$69^2))))</f>
        <v>0.16077059348112796</v>
      </c>
      <c r="H17" s="131">
        <f>G17^2*Sheet!$F$69</f>
        <v>2.4030591036479077E-2</v>
      </c>
      <c r="I17" s="131">
        <f>G17*Sheet!$D$77</f>
        <v>0.19292471217735355</v>
      </c>
      <c r="J17" s="131">
        <f t="shared" si="1"/>
        <v>9.7603827302176089</v>
      </c>
      <c r="K17" s="131">
        <f t="shared" si="2"/>
        <v>7.7257434250003103E-3</v>
      </c>
      <c r="L17" s="131">
        <f t="shared" si="3"/>
        <v>0.66055842328235581</v>
      </c>
    </row>
    <row r="18" spans="1:12" x14ac:dyDescent="0.2">
      <c r="A18" s="131">
        <v>1.4000000000000001</v>
      </c>
      <c r="B18" s="131">
        <f>Sheet!$D$5*A18*60/(Sheet!$D$7*PI())</f>
        <v>31.194368846011486</v>
      </c>
      <c r="C18" s="131">
        <f>MAX((Sheet!$F$37*1.414*(2*Sheet!$D$32*Sheet!$F$25*B18/60*Sheet!$D$30/1000*Sheet!$D$31/1000)*(Sheet!$D$11/Sheet!$D$33))-1.4,0)</f>
        <v>66.78</v>
      </c>
      <c r="D18" s="131">
        <f>(Sheet!$D$41^4*Sheet!$D$32^2*Sheet!$F$25^2*B18^2*Sheet!$D$13*0.001*Sheet!$D$11*2*PI()*Sheet!$F$37*Sheet!$D$43)/(144*10^8*Sheet!$D$65)</f>
        <v>3.9359057194348641</v>
      </c>
      <c r="E18" s="131">
        <f>A18^3*Sheet!$D$75/2*Sheet!$D$7^2/4*PI()*Sheet!$D$76/100</f>
        <v>16.700122210249777</v>
      </c>
      <c r="F18" s="131">
        <f t="shared" si="0"/>
        <v>12.764216490814913</v>
      </c>
      <c r="G18" s="131">
        <f>IF(F18=0,0,SQRT((C18^2+2*F18*Sheet!$F$69)/(2*Sheet!$F$69^2)-SQRT((C18^2+2*F18*Sheet!$F$69)^2/(4*Sheet!$F$69^4)-(F18^2/Sheet!$F$69^2))))</f>
        <v>0.19063237327935559</v>
      </c>
      <c r="H18" s="131">
        <f>G18^2*Sheet!$F$69</f>
        <v>3.3786603241739328E-2</v>
      </c>
      <c r="I18" s="131">
        <f>G18*Sheet!$D$77</f>
        <v>0.22875884793522669</v>
      </c>
      <c r="J18" s="131">
        <f t="shared" si="1"/>
        <v>12.501671039637946</v>
      </c>
      <c r="K18" s="131">
        <f t="shared" si="2"/>
        <v>8.4977313560642108E-3</v>
      </c>
      <c r="L18" s="131">
        <f t="shared" si="3"/>
        <v>0.93062597589136564</v>
      </c>
    </row>
    <row r="19" spans="1:12" x14ac:dyDescent="0.2">
      <c r="A19" s="131">
        <v>1.5000000000000002</v>
      </c>
      <c r="B19" s="131">
        <f>Sheet!$D$5*A19*60/(Sheet!$D$7*PI())</f>
        <v>33.422538049298026</v>
      </c>
      <c r="C19" s="131">
        <f>MAX((Sheet!$F$37*1.414*(2*Sheet!$D$32*Sheet!$F$25*B19/60*Sheet!$D$30/1000*Sheet!$D$31/1000)*(Sheet!$D$11/Sheet!$D$33))-1.4,0)</f>
        <v>71.650000000000006</v>
      </c>
      <c r="D19" s="131">
        <f>(Sheet!$D$41^4*Sheet!$D$32^2*Sheet!$F$25^2*B19^2*Sheet!$D$13*0.001*Sheet!$D$11*2*PI()*Sheet!$F$37*Sheet!$D$43)/(144*10^8*Sheet!$D$65)</f>
        <v>4.5182591166981876</v>
      </c>
      <c r="E19" s="131">
        <f>A19^3*Sheet!$D$75/2*Sheet!$D$7^2/4*PI()*Sheet!$D$76/100</f>
        <v>20.540419992563052</v>
      </c>
      <c r="F19" s="131">
        <f t="shared" si="0"/>
        <v>16.022160875864863</v>
      </c>
      <c r="G19" s="131">
        <f>IF(F19=0,0,SQRT((C19^2+2*F19*Sheet!$F$69)/(2*Sheet!$F$69^2)-SQRT((C19^2+2*F19*Sheet!$F$69)^2/(4*Sheet!$F$69^4)-(F19^2/Sheet!$F$69^2))))</f>
        <v>0.2229719270212448</v>
      </c>
      <c r="H19" s="131">
        <f>G19^2*Sheet!$F$69</f>
        <v>4.6222304796144628E-2</v>
      </c>
      <c r="I19" s="131">
        <f>G19*Sheet!$D$77</f>
        <v>0.26756631242549372</v>
      </c>
      <c r="J19" s="131">
        <f t="shared" si="1"/>
        <v>15.708372258643225</v>
      </c>
      <c r="K19" s="131">
        <f t="shared" si="2"/>
        <v>9.2718601130039619E-3</v>
      </c>
      <c r="L19" s="131">
        <f t="shared" si="3"/>
        <v>1.2758574724217568</v>
      </c>
    </row>
    <row r="20" spans="1:12" x14ac:dyDescent="0.2">
      <c r="A20" s="131">
        <v>1.6000000000000003</v>
      </c>
      <c r="B20" s="131">
        <f>Sheet!$D$5*A20*60/(Sheet!$D$7*PI())</f>
        <v>35.650707252584567</v>
      </c>
      <c r="C20" s="131">
        <f>MAX((Sheet!$F$37*1.414*(2*Sheet!$D$32*Sheet!$F$25*B20/60*Sheet!$D$30/1000*Sheet!$D$31/1000)*(Sheet!$D$11/Sheet!$D$33))-1.4,0)</f>
        <v>76.520000000000024</v>
      </c>
      <c r="D20" s="131">
        <f>(Sheet!$D$41^4*Sheet!$D$32^2*Sheet!$F$25^2*B20^2*Sheet!$D$13*0.001*Sheet!$D$11*2*PI()*Sheet!$F$37*Sheet!$D$43)/(144*10^8*Sheet!$D$65)</f>
        <v>5.1407748172210521</v>
      </c>
      <c r="E20" s="131">
        <f>A20^3*Sheet!$D$75/2*Sheet!$D$7^2/4*PI()*Sheet!$D$76/100</f>
        <v>24.928462308011333</v>
      </c>
      <c r="F20" s="131">
        <f t="shared" si="0"/>
        <v>19.787687490790283</v>
      </c>
      <c r="G20" s="131">
        <f>IF(F20=0,0,SQRT((C20^2+2*F20*Sheet!$F$69)/(2*Sheet!$F$69^2)-SQRT((C20^2+2*F20*Sheet!$F$69)^2/(4*Sheet!$F$69^4)-(F20^2/Sheet!$F$69^2))))</f>
        <v>0.25778755384180208</v>
      </c>
      <c r="H20" s="131">
        <f>G20^2*Sheet!$F$69</f>
        <v>6.1783870786142475E-2</v>
      </c>
      <c r="I20" s="131">
        <f>G20*Sheet!$D$77</f>
        <v>0.30934506461016248</v>
      </c>
      <c r="J20" s="131">
        <f t="shared" si="1"/>
        <v>19.416558555393976</v>
      </c>
      <c r="K20" s="131">
        <f t="shared" si="2"/>
        <v>1.0044371354772595E-2</v>
      </c>
      <c r="L20" s="131">
        <f t="shared" si="3"/>
        <v>1.7084376111636808</v>
      </c>
    </row>
    <row r="21" spans="1:12" x14ac:dyDescent="0.2">
      <c r="A21" s="131">
        <v>1.7000000000000004</v>
      </c>
      <c r="B21" s="131">
        <f>Sheet!$D$5*A21*60/(Sheet!$D$7*PI())</f>
        <v>37.878876455871101</v>
      </c>
      <c r="C21" s="131">
        <f>MAX((Sheet!$F$37*1.414*(2*Sheet!$D$32*Sheet!$F$25*B21/60*Sheet!$D$30/1000*Sheet!$D$31/1000)*(Sheet!$D$11/Sheet!$D$33))-1.4,0)</f>
        <v>81.390000000000015</v>
      </c>
      <c r="D21" s="131">
        <f>(Sheet!$D$41^4*Sheet!$D$32^2*Sheet!$F$25^2*B21^2*Sheet!$D$13*0.001*Sheet!$D$11*2*PI()*Sheet!$F$37*Sheet!$D$43)/(144*10^8*Sheet!$D$65)</f>
        <v>5.8034528210034528</v>
      </c>
      <c r="E21" s="131">
        <f>A21^3*Sheet!$D$75/2*Sheet!$D$7^2/4*PI()*Sheet!$D$76/100</f>
        <v>29.900765458803644</v>
      </c>
      <c r="F21" s="131">
        <f t="shared" si="0"/>
        <v>24.09731263780019</v>
      </c>
      <c r="G21" s="131">
        <f>IF(F21=0,0,SQRT((C21^2+2*F21*Sheet!$F$69)/(2*Sheet!$F$69^2)-SQRT((C21^2+2*F21*Sheet!$F$69)^2/(4*Sheet!$F$69^4)-(F21^2/Sheet!$F$69^2))))</f>
        <v>0.29507754503385325</v>
      </c>
      <c r="H21" s="131">
        <f>G21^2*Sheet!$F$69</f>
        <v>8.0951247482703548E-2</v>
      </c>
      <c r="I21" s="131">
        <f>G21*Sheet!$D$77</f>
        <v>0.35409305404062391</v>
      </c>
      <c r="J21" s="131">
        <f t="shared" si="1"/>
        <v>23.66226833627686</v>
      </c>
      <c r="K21" s="131">
        <f t="shared" si="2"/>
        <v>1.081157117886509E-2</v>
      </c>
      <c r="L21" s="131">
        <f t="shared" si="3"/>
        <v>2.2410383737305111</v>
      </c>
    </row>
    <row r="22" spans="1:12" x14ac:dyDescent="0.2">
      <c r="A22" s="131">
        <v>1.8000000000000005</v>
      </c>
      <c r="B22" s="131">
        <f>Sheet!$D$5*A22*60/(Sheet!$D$7*PI())</f>
        <v>40.107045659157642</v>
      </c>
      <c r="C22" s="131">
        <f>MAX((Sheet!$F$37*1.414*(2*Sheet!$D$32*Sheet!$F$25*B22/60*Sheet!$D$30/1000*Sheet!$D$31/1000)*(Sheet!$D$11/Sheet!$D$33))-1.4,0)</f>
        <v>86.260000000000019</v>
      </c>
      <c r="D22" s="131">
        <f>(Sheet!$D$41^4*Sheet!$D$32^2*Sheet!$F$25^2*B22^2*Sheet!$D$13*0.001*Sheet!$D$11*2*PI()*Sheet!$F$37*Sheet!$D$43)/(144*10^8*Sheet!$D$65)</f>
        <v>6.5062931280453951</v>
      </c>
      <c r="E22" s="131">
        <f>A22^3*Sheet!$D$75/2*Sheet!$D$7^2/4*PI()*Sheet!$D$76/100</f>
        <v>35.49384574714896</v>
      </c>
      <c r="F22" s="131">
        <f t="shared" si="0"/>
        <v>28.987552619103564</v>
      </c>
      <c r="G22" s="131">
        <f>IF(F22=0,0,SQRT((C22^2+2*F22*Sheet!$F$69)/(2*Sheet!$F$69^2)-SQRT((C22^2+2*F22*Sheet!$F$69)^2/(4*Sheet!$F$69^4)-(F22^2/Sheet!$F$69^2))))</f>
        <v>0.33484018717897457</v>
      </c>
      <c r="H22" s="131">
        <f>G22^2*Sheet!$F$69</f>
        <v>0.10423807310896512</v>
      </c>
      <c r="I22" s="131">
        <f>G22*Sheet!$D$77</f>
        <v>0.40180822461476945</v>
      </c>
      <c r="J22" s="131">
        <f t="shared" si="1"/>
        <v>28.481506321379829</v>
      </c>
      <c r="K22" s="131">
        <f t="shared" si="2"/>
        <v>1.1569834709033952E-2</v>
      </c>
      <c r="L22" s="131">
        <f t="shared" si="3"/>
        <v>2.8866505667273916</v>
      </c>
    </row>
    <row r="23" spans="1:12" x14ac:dyDescent="0.2">
      <c r="A23" s="131">
        <v>1.9000000000000006</v>
      </c>
      <c r="B23" s="131">
        <f>Sheet!$D$5*A23*60/(Sheet!$D$7*PI())</f>
        <v>42.335214862444175</v>
      </c>
      <c r="C23" s="131">
        <f>MAX((Sheet!$F$37*1.414*(2*Sheet!$D$32*Sheet!$F$25*B23/60*Sheet!$D$30/1000*Sheet!$D$31/1000)*(Sheet!$D$11/Sheet!$D$33))-1.4,0)</f>
        <v>91.13000000000001</v>
      </c>
      <c r="D23" s="131">
        <f>(Sheet!$D$41^4*Sheet!$D$32^2*Sheet!$F$25^2*B23^2*Sheet!$D$13*0.001*Sheet!$D$11*2*PI()*Sheet!$F$37*Sheet!$D$43)/(144*10^8*Sheet!$D$65)</f>
        <v>7.2492957383468726</v>
      </c>
      <c r="E23" s="131">
        <f>A23^3*Sheet!$D$75/2*Sheet!$D$7^2/4*PI()*Sheet!$D$76/100</f>
        <v>41.744219475256294</v>
      </c>
      <c r="F23" s="131">
        <f t="shared" si="0"/>
        <v>34.494923736909421</v>
      </c>
      <c r="G23" s="131">
        <f>IF(F23=0,0,SQRT((C23^2+2*F23*Sheet!$F$69)/(2*Sheet!$F$69^2)-SQRT((C23^2+2*F23*Sheet!$F$69)^2/(4*Sheet!$F$69^4)-(F23^2/Sheet!$F$69^2))))</f>
        <v>0.37707376427129408</v>
      </c>
      <c r="H23" s="131">
        <f>G23^2*Sheet!$F$69</f>
        <v>0.13219159889029561</v>
      </c>
      <c r="I23" s="131">
        <f>G23*Sheet!$D$77</f>
        <v>0.45248851712555288</v>
      </c>
      <c r="J23" s="131">
        <f t="shared" si="1"/>
        <v>33.910243620893574</v>
      </c>
      <c r="K23" s="131">
        <f t="shared" si="2"/>
        <v>1.2315614360217528E-2</v>
      </c>
      <c r="L23" s="131">
        <f t="shared" si="3"/>
        <v>3.6583992336725371</v>
      </c>
    </row>
    <row r="24" spans="1:12" x14ac:dyDescent="0.2">
      <c r="A24" s="131">
        <v>2.0000000000000004</v>
      </c>
      <c r="B24" s="131">
        <f>Sheet!$D$5*A24*60/(Sheet!$D$7*PI())</f>
        <v>44.563384065730709</v>
      </c>
      <c r="C24" s="131">
        <f>MAX((Sheet!$F$37*1.414*(2*Sheet!$D$32*Sheet!$F$25*B24/60*Sheet!$D$30/1000*Sheet!$D$31/1000)*(Sheet!$D$11/Sheet!$D$33))-1.4,0)</f>
        <v>96.000000000000014</v>
      </c>
      <c r="D24" s="131">
        <f>(Sheet!$D$41^4*Sheet!$D$32^2*Sheet!$F$25^2*B24^2*Sheet!$D$13*0.001*Sheet!$D$11*2*PI()*Sheet!$F$37*Sheet!$D$43)/(144*10^8*Sheet!$D$65)</f>
        <v>8.0324606519078952</v>
      </c>
      <c r="E24" s="131">
        <f>A24^3*Sheet!$D$75/2*Sheet!$D$7^2/4*PI()*Sheet!$D$76/100</f>
        <v>48.688402945334644</v>
      </c>
      <c r="F24" s="131">
        <f t="shared" si="0"/>
        <v>40.655942293426747</v>
      </c>
      <c r="G24" s="131">
        <f>IF(F24=0,0,SQRT((C24^2+2*F24*Sheet!$F$69)/(2*Sheet!$F$69^2)-SQRT((C24^2+2*F24*Sheet!$F$69)^2/(4*Sheet!$F$69^4)-(F24^2/Sheet!$F$69^2))))</f>
        <v>0.42177655919748386</v>
      </c>
      <c r="H24" s="131">
        <f>G24^2*Sheet!$F$69</f>
        <v>0.16539261038847242</v>
      </c>
      <c r="I24" s="131">
        <f>G24*Sheet!$D$77</f>
        <v>0.50613187103698065</v>
      </c>
      <c r="J24" s="131">
        <f t="shared" si="1"/>
        <v>39.984417812001297</v>
      </c>
      <c r="K24" s="131">
        <f t="shared" si="2"/>
        <v>1.3045450813610157E-2</v>
      </c>
      <c r="L24" s="131">
        <f t="shared" si="3"/>
        <v>4.5693452614851546</v>
      </c>
    </row>
    <row r="25" spans="1:12" x14ac:dyDescent="0.2">
      <c r="A25" s="131">
        <v>2.1000000000000005</v>
      </c>
      <c r="B25" s="131">
        <f>Sheet!$D$5*A25*60/(Sheet!$D$7*PI())</f>
        <v>46.791553269017243</v>
      </c>
      <c r="C25" s="131">
        <f>MAX((Sheet!$F$37*1.414*(2*Sheet!$D$32*Sheet!$F$25*B25/60*Sheet!$D$30/1000*Sheet!$D$31/1000)*(Sheet!$D$11/Sheet!$D$33))-1.4,0)</f>
        <v>100.87000000000005</v>
      </c>
      <c r="D25" s="131">
        <f>(Sheet!$D$41^4*Sheet!$D$32^2*Sheet!$F$25^2*B25^2*Sheet!$D$13*0.001*Sheet!$D$11*2*PI()*Sheet!$F$37*Sheet!$D$43)/(144*10^8*Sheet!$D$65)</f>
        <v>8.8557878687284521</v>
      </c>
      <c r="E25" s="131">
        <f>A25^3*Sheet!$D$75/2*Sheet!$D$7^2/4*PI()*Sheet!$D$76/100</f>
        <v>56.362912459593019</v>
      </c>
      <c r="F25" s="131">
        <f t="shared" si="0"/>
        <v>47.507124590864564</v>
      </c>
      <c r="G25" s="131">
        <f>IF(F25=0,0,SQRT((C25^2+2*F25*Sheet!$F$69)/(2*Sheet!$F$69^2)-SQRT((C25^2+2*F25*Sheet!$F$69)^2/(4*Sheet!$F$69^4)-(F25^2/Sheet!$F$69^2))))</f>
        <v>0.46894685478079684</v>
      </c>
      <c r="H25" s="131">
        <f>G25^2*Sheet!$F$69</f>
        <v>0.20445534911109337</v>
      </c>
      <c r="I25" s="131">
        <f>G25*Sheet!$D$77</f>
        <v>0.56273622573695614</v>
      </c>
      <c r="J25" s="131">
        <f t="shared" si="1"/>
        <v>46.739933016016515</v>
      </c>
      <c r="K25" s="131">
        <f t="shared" si="2"/>
        <v>1.3755985953314707E-2</v>
      </c>
      <c r="L25" s="131">
        <f t="shared" si="3"/>
        <v>5.6322758313582151</v>
      </c>
    </row>
    <row r="26" spans="1:12" x14ac:dyDescent="0.2">
      <c r="A26" s="131">
        <v>2.2000000000000006</v>
      </c>
      <c r="B26" s="131">
        <f>Sheet!$D$5*A26*60/(Sheet!$D$7*PI())</f>
        <v>49.019722472303776</v>
      </c>
      <c r="C26" s="131">
        <f>MAX((Sheet!$F$37*1.414*(2*Sheet!$D$32*Sheet!$F$25*B26/60*Sheet!$D$30/1000*Sheet!$D$31/1000)*(Sheet!$D$11/Sheet!$D$33))-1.4,0)</f>
        <v>105.74000000000004</v>
      </c>
      <c r="D26" s="131">
        <f>(Sheet!$D$41^4*Sheet!$D$32^2*Sheet!$F$25^2*B26^2*Sheet!$D$13*0.001*Sheet!$D$11*2*PI()*Sheet!$F$37*Sheet!$D$43)/(144*10^8*Sheet!$D$65)</f>
        <v>9.719277388808548</v>
      </c>
      <c r="E26" s="131">
        <f>A26^3*Sheet!$D$75/2*Sheet!$D$7^2/4*PI()*Sheet!$D$76/100</f>
        <v>64.804264320240421</v>
      </c>
      <c r="F26" s="131">
        <f t="shared" si="0"/>
        <v>55.084986931431871</v>
      </c>
      <c r="G26" s="131">
        <f>IF(F26=0,0,SQRT((C26^2+2*F26*Sheet!$F$69)/(2*Sheet!$F$69^2)-SQRT((C26^2+2*F26*Sheet!$F$69)^2/(4*Sheet!$F$69^4)-(F26^2/Sheet!$F$69^2))))</f>
        <v>0.51858293452833804</v>
      </c>
      <c r="H26" s="131">
        <f>G26^2*Sheet!$F$69</f>
        <v>0.25002743439157221</v>
      </c>
      <c r="I26" s="131">
        <f>G26*Sheet!$D$77</f>
        <v>0.62229952143400558</v>
      </c>
      <c r="J26" s="131">
        <f t="shared" si="1"/>
        <v>54.212659975606293</v>
      </c>
      <c r="K26" s="131">
        <f t="shared" si="2"/>
        <v>1.4443977163581086E-2</v>
      </c>
      <c r="L26" s="131">
        <f t="shared" si="3"/>
        <v>6.8594866625422783</v>
      </c>
    </row>
    <row r="27" spans="1:12" x14ac:dyDescent="0.2">
      <c r="A27" s="131">
        <v>2.3000000000000007</v>
      </c>
      <c r="B27" s="131">
        <f>Sheet!$D$5*A27*60/(Sheet!$D$7*PI())</f>
        <v>51.247891675590317</v>
      </c>
      <c r="C27" s="131">
        <f>MAX((Sheet!$F$37*1.414*(2*Sheet!$D$32*Sheet!$F$25*B27/60*Sheet!$D$30/1000*Sheet!$D$31/1000)*(Sheet!$D$11/Sheet!$D$33))-1.4,0)</f>
        <v>110.61000000000007</v>
      </c>
      <c r="D27" s="131">
        <f>(Sheet!$D$41^4*Sheet!$D$32^2*Sheet!$F$25^2*B27^2*Sheet!$D$13*0.001*Sheet!$D$11*2*PI()*Sheet!$F$37*Sheet!$D$43)/(144*10^8*Sheet!$D$65)</f>
        <v>10.62292921214819</v>
      </c>
      <c r="E27" s="131">
        <f>A27^3*Sheet!$D$75/2*Sheet!$D$7^2/4*PI()*Sheet!$D$76/100</f>
        <v>74.048974829485857</v>
      </c>
      <c r="F27" s="131">
        <f t="shared" si="0"/>
        <v>63.426045617337664</v>
      </c>
      <c r="G27" s="131">
        <f>IF(F27=0,0,SQRT((C27^2+2*F27*Sheet!$F$69)/(2*Sheet!$F$69^2)-SQRT((C27^2+2*F27*Sheet!$F$69)^2/(4*Sheet!$F$69^4)-(F27^2/Sheet!$F$69^2))))</f>
        <v>0.57068308319078176</v>
      </c>
      <c r="H27" s="131">
        <f>G27^2*Sheet!$F$69</f>
        <v>0.30278978555493774</v>
      </c>
      <c r="I27" s="131">
        <f>G27*Sheet!$D$77</f>
        <v>0.68481969982893809</v>
      </c>
      <c r="J27" s="131">
        <f t="shared" si="1"/>
        <v>62.438436131953793</v>
      </c>
      <c r="K27" s="131">
        <f t="shared" si="2"/>
        <v>1.5106312488051337E-2</v>
      </c>
      <c r="L27" s="131">
        <f t="shared" si="3"/>
        <v>8.262559260676877</v>
      </c>
    </row>
    <row r="28" spans="1:12" x14ac:dyDescent="0.2">
      <c r="A28" s="134">
        <v>2.4000000000000008</v>
      </c>
      <c r="B28" s="131">
        <f>Sheet!$D$5*A28*60/(Sheet!$D$7*PI())</f>
        <v>53.476060878876844</v>
      </c>
      <c r="C28" s="131">
        <f>MAX((Sheet!$F$37*1.414*(2*Sheet!$D$32*Sheet!$F$25*B28/60*Sheet!$D$30/1000*Sheet!$D$31/1000)*(Sheet!$D$11/Sheet!$D$33))-1.4,0)</f>
        <v>115.48000000000003</v>
      </c>
      <c r="D28" s="131">
        <f>(Sheet!$D$41^4*Sheet!$D$32^2*Sheet!$F$25^2*B28^2*Sheet!$D$13*0.001*Sheet!$D$11*2*PI()*Sheet!$F$37*Sheet!$D$43)/(144*10^8*Sheet!$D$65)</f>
        <v>11.566743338747361</v>
      </c>
      <c r="E28" s="131">
        <f>A28^3*Sheet!$D$75/2*Sheet!$D$7^2/4*PI()*Sheet!$D$76/100</f>
        <v>84.133560289538295</v>
      </c>
      <c r="F28" s="131">
        <f t="shared" si="0"/>
        <v>72.566816950790937</v>
      </c>
      <c r="G28" s="131">
        <f>IF(F28=0,0,SQRT((C28^2+2*F28*Sheet!$F$69)/(2*Sheet!$F$69^2)-SQRT((C28^2+2*F28*Sheet!$F$69)^2/(4*Sheet!$F$69^4)-(F28^2/Sheet!$F$69^2))))</f>
        <v>0.62524558717056866</v>
      </c>
      <c r="H28" s="131">
        <f>G28^2*Sheet!$F$69</f>
        <v>0.36345654434998836</v>
      </c>
      <c r="I28" s="131">
        <f>G28*Sheet!$D$77</f>
        <v>0.75029470460468239</v>
      </c>
      <c r="J28" s="131">
        <f t="shared" si="1"/>
        <v>71.453065701836266</v>
      </c>
      <c r="K28" s="131">
        <f t="shared" si="2"/>
        <v>1.5740026225744847E-2</v>
      </c>
      <c r="L28" s="131">
        <f t="shared" si="3"/>
        <v>9.8521366017773282</v>
      </c>
    </row>
    <row r="29" spans="1:12" x14ac:dyDescent="0.2">
      <c r="A29" s="134">
        <v>2.5000000000000009</v>
      </c>
      <c r="B29" s="131">
        <f>Sheet!$D$5*A29*60/(Sheet!$D$7*PI())</f>
        <v>55.704230082163392</v>
      </c>
      <c r="C29" s="131">
        <f>MAX((Sheet!$F$37*1.414*(2*Sheet!$D$32*Sheet!$F$25*B29/60*Sheet!$D$30/1000*Sheet!$D$31/1000)*(Sheet!$D$11/Sheet!$D$33))-1.4,0)</f>
        <v>120.35000000000004</v>
      </c>
      <c r="D29" s="131">
        <f>(Sheet!$D$41^4*Sheet!$D$32^2*Sheet!$F$25^2*B29^2*Sheet!$D$13*0.001*Sheet!$D$11*2*PI()*Sheet!$F$37*Sheet!$D$43)/(144*10^8*Sheet!$D$65)</f>
        <v>12.550719768606088</v>
      </c>
      <c r="E29" s="131">
        <f>A29^3*Sheet!$D$75/2*Sheet!$D$7^2/4*PI()*Sheet!$D$76/100</f>
        <v>95.094537002606771</v>
      </c>
      <c r="F29" s="131">
        <f t="shared" si="0"/>
        <v>82.543817234000684</v>
      </c>
      <c r="G29" s="131">
        <f>IF(F29=0,0,SQRT((C29^2+2*F29*Sheet!$F$69)/(2*Sheet!$F$69^2)-SQRT((C29^2+2*F29*Sheet!$F$69)^2/(4*Sheet!$F$69^4)-(F29^2/Sheet!$F$69^2))))</f>
        <v>0.68226873482556505</v>
      </c>
      <c r="H29" s="131">
        <f>G29^2*Sheet!$F$69</f>
        <v>0.43277499764864841</v>
      </c>
      <c r="I29" s="131">
        <f>G29*Sheet!$D$77</f>
        <v>0.81872248179067808</v>
      </c>
      <c r="J29" s="131">
        <f t="shared" si="1"/>
        <v>81.292319754561362</v>
      </c>
      <c r="K29" s="131">
        <f t="shared" si="2"/>
        <v>1.6342314592955005E-2</v>
      </c>
      <c r="L29" s="131">
        <f t="shared" si="3"/>
        <v>11.637700851560361</v>
      </c>
    </row>
    <row r="30" spans="1:12" x14ac:dyDescent="0.2">
      <c r="A30" s="134">
        <v>2.600000000000001</v>
      </c>
      <c r="B30" s="131">
        <f>Sheet!$D$5*A30*60/(Sheet!$D$7*PI())</f>
        <v>57.932399285449925</v>
      </c>
      <c r="C30" s="131">
        <f>MAX((Sheet!$F$37*1.414*(2*Sheet!$D$32*Sheet!$F$25*B30/60*Sheet!$D$30/1000*Sheet!$D$31/1000)*(Sheet!$D$11/Sheet!$D$33))-1.4,0)</f>
        <v>125.22000000000003</v>
      </c>
      <c r="D30" s="131">
        <f>(Sheet!$D$41^4*Sheet!$D$32^2*Sheet!$F$25^2*B30^2*Sheet!$D$13*0.001*Sheet!$D$11*2*PI()*Sheet!$F$37*Sheet!$D$43)/(144*10^8*Sheet!$D$65)</f>
        <v>13.574858501724339</v>
      </c>
      <c r="E30" s="131">
        <f>A30^3*Sheet!$D$75/2*Sheet!$D$7^2/4*PI()*Sheet!$D$76/100</f>
        <v>106.96842127090027</v>
      </c>
      <c r="F30" s="131">
        <f t="shared" si="0"/>
        <v>93.393562769175929</v>
      </c>
      <c r="G30" s="131">
        <f>IF(F30=0,0,SQRT((C30^2+2*F30*Sheet!$F$69)/(2*Sheet!$F$69^2)-SQRT((C30^2+2*F30*Sheet!$F$69)^2/(4*Sheet!$F$69^4)-(F30^2/Sheet!$F$69^2))))</f>
        <v>0.74175081671264975</v>
      </c>
      <c r="H30" s="131">
        <f>G30^2*Sheet!$F$69</f>
        <v>0.51152550043197353</v>
      </c>
      <c r="I30" s="131">
        <f>G30*Sheet!$D$77</f>
        <v>0.89010098005517968</v>
      </c>
      <c r="J30" s="131">
        <f t="shared" si="1"/>
        <v>91.991936288688777</v>
      </c>
      <c r="K30" s="131">
        <f t="shared" si="2"/>
        <v>1.6910551122454688E-2</v>
      </c>
      <c r="L30" s="131">
        <f t="shared" si="3"/>
        <v>13.627356831219965</v>
      </c>
    </row>
    <row r="31" spans="1:12" x14ac:dyDescent="0.2">
      <c r="A31" s="131">
        <v>2.7000000000000011</v>
      </c>
      <c r="B31" s="131">
        <f>Sheet!$D$5*A31*60/(Sheet!$D$7*PI())</f>
        <v>60.160568488736466</v>
      </c>
      <c r="C31" s="131">
        <f>MAX((Sheet!$F$37*1.414*(2*Sheet!$D$32*Sheet!$F$25*B31/60*Sheet!$D$30/1000*Sheet!$D$31/1000)*(Sheet!$D$11/Sheet!$D$33))-1.4,0)</f>
        <v>130.09000000000006</v>
      </c>
      <c r="D31" s="131">
        <f>(Sheet!$D$41^4*Sheet!$D$32^2*Sheet!$F$25^2*B31^2*Sheet!$D$13*0.001*Sheet!$D$11*2*PI()*Sheet!$F$37*Sheet!$D$43)/(144*10^8*Sheet!$D$65)</f>
        <v>14.639159538102138</v>
      </c>
      <c r="E31" s="131">
        <f>A31^3*Sheet!$D$75/2*Sheet!$D$7^2/4*PI()*Sheet!$D$76/100</f>
        <v>119.7917293966278</v>
      </c>
      <c r="F31" s="131">
        <f t="shared" si="0"/>
        <v>105.15256985852567</v>
      </c>
      <c r="G31" s="131">
        <f>IF(F31=0,0,SQRT((C31^2+2*F31*Sheet!$F$69)/(2*Sheet!$F$69^2)-SQRT((C31^2+2*F31*Sheet!$F$69)^2/(4*Sheet!$F$69^4)-(F31^2/Sheet!$F$69^2))))</f>
        <v>0.80369012575483967</v>
      </c>
      <c r="H31" s="131">
        <f>G31^2*Sheet!$F$69</f>
        <v>0.60052139901883606</v>
      </c>
      <c r="I31" s="131">
        <f>G31*Sheet!$D$77</f>
        <v>0.96442815090580758</v>
      </c>
      <c r="J31" s="131">
        <f t="shared" si="1"/>
        <v>103.58762030860103</v>
      </c>
      <c r="K31" s="131">
        <f t="shared" si="2"/>
        <v>1.7442301505838247E-2</v>
      </c>
      <c r="L31" s="131">
        <f t="shared" si="3"/>
        <v>15.827624989887434</v>
      </c>
    </row>
    <row r="32" spans="1:12" x14ac:dyDescent="0.2">
      <c r="A32" s="131">
        <v>2.8000000000000012</v>
      </c>
      <c r="B32" s="131">
        <f>Sheet!$D$5*A32*60/(Sheet!$D$7*PI())</f>
        <v>62.388737692023</v>
      </c>
      <c r="C32" s="131">
        <f>MAX((Sheet!$F$37*1.414*(2*Sheet!$D$32*Sheet!$F$25*B32/60*Sheet!$D$30/1000*Sheet!$D$31/1000)*(Sheet!$D$11/Sheet!$D$33))-1.4,0)</f>
        <v>134.96000000000006</v>
      </c>
      <c r="D32" s="131">
        <f>(Sheet!$D$41^4*Sheet!$D$32^2*Sheet!$F$25^2*B32^2*Sheet!$D$13*0.001*Sheet!$D$11*2*PI()*Sheet!$F$37*Sheet!$D$43)/(144*10^8*Sheet!$D$65)</f>
        <v>15.743622877739474</v>
      </c>
      <c r="E32" s="131">
        <f>A32^3*Sheet!$D$75/2*Sheet!$D$7^2/4*PI()*Sheet!$D$76/100</f>
        <v>133.60097768199833</v>
      </c>
      <c r="F32" s="131">
        <f t="shared" si="0"/>
        <v>117.85735480425886</v>
      </c>
      <c r="G32" s="131">
        <f>IF(F32=0,0,SQRT((C32^2+2*F32*Sheet!$F$69)/(2*Sheet!$F$69^2)-SQRT((C32^2+2*F32*Sheet!$F$69)^2/(4*Sheet!$F$69^4)-(F32^2/Sheet!$F$69^2))))</f>
        <v>0.86808495739137359</v>
      </c>
      <c r="H32" s="131">
        <f>G32^2*Sheet!$F$69</f>
        <v>0.70060895459225125</v>
      </c>
      <c r="I32" s="131">
        <f>G32*Sheet!$D$77</f>
        <v>1.0417019488696482</v>
      </c>
      <c r="J32" s="131">
        <f t="shared" si="1"/>
        <v>116.11504390079696</v>
      </c>
      <c r="K32" s="131">
        <f t="shared" si="2"/>
        <v>1.7935337614426561E-2</v>
      </c>
      <c r="L32" s="131">
        <f t="shared" si="3"/>
        <v>18.243247626798855</v>
      </c>
    </row>
    <row r="33" spans="1:12" x14ac:dyDescent="0.2">
      <c r="A33" s="131">
        <v>2.9000000000000012</v>
      </c>
      <c r="B33" s="131">
        <f>Sheet!$D$5*A33*60/(Sheet!$D$7*PI())</f>
        <v>64.616906895309526</v>
      </c>
      <c r="C33" s="131">
        <f>MAX((Sheet!$F$37*1.414*(2*Sheet!$D$32*Sheet!$F$25*B33/60*Sheet!$D$30/1000*Sheet!$D$31/1000)*(Sheet!$D$11/Sheet!$D$33))-1.4,0)</f>
        <v>139.83000000000007</v>
      </c>
      <c r="D33" s="131">
        <f>(Sheet!$D$41^4*Sheet!$D$32^2*Sheet!$F$25^2*B33^2*Sheet!$D$13*0.001*Sheet!$D$11*2*PI()*Sheet!$F$37*Sheet!$D$43)/(144*10^8*Sheet!$D$65)</f>
        <v>16.888248520636346</v>
      </c>
      <c r="E33" s="131">
        <f>A33^3*Sheet!$D$75/2*Sheet!$D$7^2/4*PI()*Sheet!$D$76/100</f>
        <v>148.4326824292209</v>
      </c>
      <c r="F33" s="131">
        <f t="shared" si="0"/>
        <v>131.54443390858455</v>
      </c>
      <c r="G33" s="131">
        <f>IF(F33=0,0,SQRT((C33^2+2*F33*Sheet!$F$69)/(2*Sheet!$F$69^2)-SQRT((C33^2+2*F33*Sheet!$F$69)^2/(4*Sheet!$F$69^4)-(F33^2/Sheet!$F$69^2))))</f>
        <v>0.9349336096800559</v>
      </c>
      <c r="H33" s="131">
        <f>G33^2*Sheet!$F$69</f>
        <v>0.8126672669709214</v>
      </c>
      <c r="I33" s="131">
        <f>G33*Sheet!$D$77</f>
        <v>1.1219203316160671</v>
      </c>
      <c r="J33" s="131">
        <f t="shared" si="1"/>
        <v>129.60984630999758</v>
      </c>
      <c r="K33" s="131">
        <f t="shared" si="2"/>
        <v>1.8387650460928141E-2</v>
      </c>
      <c r="L33" s="131">
        <f t="shared" si="3"/>
        <v>20.877012020127388</v>
      </c>
    </row>
    <row r="34" spans="1:12" x14ac:dyDescent="0.2">
      <c r="A34" s="131">
        <v>3.0000000000000013</v>
      </c>
      <c r="B34" s="131">
        <f>Sheet!$D$5*A34*60/(Sheet!$D$7*PI())</f>
        <v>66.845076098596081</v>
      </c>
      <c r="C34" s="131">
        <f>MAX((Sheet!$F$37*1.414*(2*Sheet!$D$32*Sheet!$F$25*B34/60*Sheet!$D$30/1000*Sheet!$D$31/1000)*(Sheet!$D$11/Sheet!$D$33))-1.4,0)</f>
        <v>144.7000000000001</v>
      </c>
      <c r="D34" s="131">
        <f>(Sheet!$D$41^4*Sheet!$D$32^2*Sheet!$F$25^2*B34^2*Sheet!$D$13*0.001*Sheet!$D$11*2*PI()*Sheet!$F$37*Sheet!$D$43)/(144*10^8*Sheet!$D$65)</f>
        <v>18.073036466792768</v>
      </c>
      <c r="E34" s="131">
        <f>A34^3*Sheet!$D$75/2*Sheet!$D$7^2/4*PI()*Sheet!$D$76/100</f>
        <v>164.32335994050447</v>
      </c>
      <c r="F34" s="131">
        <f t="shared" si="0"/>
        <v>146.25032347371172</v>
      </c>
      <c r="G34" s="131">
        <f>IF(F34=0,0,SQRT((C34^2+2*F34*Sheet!$F$69)/(2*Sheet!$F$69^2)-SQRT((C34^2+2*F34*Sheet!$F$69)^2/(4*Sheet!$F$69^4)-(F34^2/Sheet!$F$69^2))))</f>
        <v>1.0042343833800464</v>
      </c>
      <c r="H34" s="131">
        <f>G34^2*Sheet!$F$69</f>
        <v>0.93760819864967149</v>
      </c>
      <c r="I34" s="131">
        <f>G34*Sheet!$D$77</f>
        <v>1.2050812600560556</v>
      </c>
      <c r="J34" s="131">
        <f t="shared" si="1"/>
        <v>144.10763401500597</v>
      </c>
      <c r="K34" s="131">
        <f t="shared" si="2"/>
        <v>1.8797461889328723E-2</v>
      </c>
      <c r="L34" s="131">
        <f t="shared" si="3"/>
        <v>23.729593963219639</v>
      </c>
    </row>
    <row r="35" spans="1:12" x14ac:dyDescent="0.2">
      <c r="A35" s="131">
        <v>3.1000000000000014</v>
      </c>
      <c r="B35" s="131">
        <f>Sheet!$D$5*A35*60/(Sheet!$D$7*PI())</f>
        <v>69.073245301882608</v>
      </c>
      <c r="C35" s="131">
        <f>MAX((Sheet!$F$37*1.414*(2*Sheet!$D$32*Sheet!$F$25*B35/60*Sheet!$D$30/1000*Sheet!$D$31/1000)*(Sheet!$D$11/Sheet!$D$33))-1.4,0)</f>
        <v>149.57000000000005</v>
      </c>
      <c r="D35" s="131">
        <f>(Sheet!$D$41^4*Sheet!$D$32^2*Sheet!$F$25^2*B35^2*Sheet!$D$13*0.001*Sheet!$D$11*2*PI()*Sheet!$F$37*Sheet!$D$43)/(144*10^8*Sheet!$D$65)</f>
        <v>19.297986716208722</v>
      </c>
      <c r="E35" s="131">
        <f>A35^3*Sheet!$D$75/2*Sheet!$D$7^2/4*PI()*Sheet!$D$76/100</f>
        <v>181.30952651805819</v>
      </c>
      <c r="F35" s="131">
        <f t="shared" si="0"/>
        <v>162.01153980184947</v>
      </c>
      <c r="G35" s="131">
        <f>IF(F35=0,0,SQRT((C35^2+2*F35*Sheet!$F$69)/(2*Sheet!$F$69^2)-SQRT((C35^2+2*F35*Sheet!$F$69)^2/(4*Sheet!$F$69^4)-(F35^2/Sheet!$F$69^2))))</f>
        <v>1.0759855820194673</v>
      </c>
      <c r="H35" s="131">
        <f>G35^2*Sheet!$F$69</f>
        <v>1.0763762991087766</v>
      </c>
      <c r="I35" s="131">
        <f>G35*Sheet!$D$77</f>
        <v>1.2911826984233608</v>
      </c>
      <c r="J35" s="131">
        <f t="shared" si="1"/>
        <v>159.64398080431732</v>
      </c>
      <c r="K35" s="131">
        <f t="shared" si="2"/>
        <v>1.9163234805162525E-2</v>
      </c>
      <c r="L35" s="131">
        <f t="shared" si="3"/>
        <v>26.799424983003771</v>
      </c>
    </row>
    <row r="36" spans="1:12" x14ac:dyDescent="0.2">
      <c r="A36" s="131">
        <v>3.2000000000000015</v>
      </c>
      <c r="B36" s="131">
        <f>Sheet!$D$5*A36*60/(Sheet!$D$7*PI())</f>
        <v>71.301414505169134</v>
      </c>
      <c r="C36" s="131">
        <f>MAX((Sheet!$F$37*1.414*(2*Sheet!$D$32*Sheet!$F$25*B36/60*Sheet!$D$30/1000*Sheet!$D$31/1000)*(Sheet!$D$11/Sheet!$D$33))-1.4,0)</f>
        <v>154.44000000000005</v>
      </c>
      <c r="D36" s="131">
        <f>(Sheet!$D$41^4*Sheet!$D$32^2*Sheet!$F$25^2*B36^2*Sheet!$D$13*0.001*Sheet!$D$11*2*PI()*Sheet!$F$37*Sheet!$D$43)/(144*10^8*Sheet!$D$65)</f>
        <v>20.563099268884208</v>
      </c>
      <c r="E36" s="131">
        <f>A36^3*Sheet!$D$75/2*Sheet!$D$7^2/4*PI()*Sheet!$D$76/100</f>
        <v>199.42769846409087</v>
      </c>
      <c r="F36" s="131">
        <f t="shared" si="0"/>
        <v>178.86459919520667</v>
      </c>
      <c r="G36" s="131">
        <f>IF(F36=0,0,SQRT((C36^2+2*F36*Sheet!$F$69)/(2*Sheet!$F$69^2)-SQRT((C36^2+2*F36*Sheet!$F$69)^2/(4*Sheet!$F$69^4)-(F36^2/Sheet!$F$69^2))))</f>
        <v>1.150185511951118</v>
      </c>
      <c r="H36" s="131">
        <f>G36^2*Sheet!$F$69</f>
        <v>1.2299487293921842</v>
      </c>
      <c r="I36" s="131">
        <f>G36*Sheet!$D$77</f>
        <v>1.3802226143413414</v>
      </c>
      <c r="J36" s="131">
        <f t="shared" si="1"/>
        <v>176.25442785147314</v>
      </c>
      <c r="K36" s="131">
        <f t="shared" si="2"/>
        <v>1.9483681782964352E-2</v>
      </c>
      <c r="L36" s="131">
        <f t="shared" si="3"/>
        <v>30.082586221445794</v>
      </c>
    </row>
    <row r="37" spans="1:12" x14ac:dyDescent="0.2">
      <c r="A37" s="131">
        <v>3.3000000000000016</v>
      </c>
      <c r="B37" s="131">
        <f>Sheet!$D$5*A37*60/(Sheet!$D$7*PI())</f>
        <v>73.529583708455689</v>
      </c>
      <c r="C37" s="131">
        <f>MAX((Sheet!$F$37*1.414*(2*Sheet!$D$32*Sheet!$F$25*B37/60*Sheet!$D$30/1000*Sheet!$D$31/1000)*(Sheet!$D$11/Sheet!$D$33))-1.4,0)</f>
        <v>159.31000000000009</v>
      </c>
      <c r="D37" s="131">
        <f>(Sheet!$D$41^4*Sheet!$D$32^2*Sheet!$F$25^2*B37^2*Sheet!$D$13*0.001*Sheet!$D$11*2*PI()*Sheet!$F$37*Sheet!$D$43)/(144*10^8*Sheet!$D$65)</f>
        <v>21.868374124819248</v>
      </c>
      <c r="E37" s="131">
        <f>A37^3*Sheet!$D$75/2*Sheet!$D$7^2/4*PI()*Sheet!$D$76/100</f>
        <v>218.71439208081159</v>
      </c>
      <c r="F37" s="131">
        <f t="shared" si="0"/>
        <v>196.84601795599235</v>
      </c>
      <c r="G37" s="131">
        <f>IF(F37=0,0,SQRT((C37^2+2*F37*Sheet!$F$69)/(2*Sheet!$F$69^2)-SQRT((C37^2+2*F37*Sheet!$F$69)^2/(4*Sheet!$F$69^4)-(F37^2/Sheet!$F$69^2))))</f>
        <v>1.2268324823861951</v>
      </c>
      <c r="H37" s="131">
        <f>G37^2*Sheet!$F$69</f>
        <v>1.3993351869258743</v>
      </c>
      <c r="I37" s="131">
        <f>G37*Sheet!$D$77</f>
        <v>1.4721989788634342</v>
      </c>
      <c r="J37" s="131">
        <f t="shared" si="1"/>
        <v>193.97448379020304</v>
      </c>
      <c r="K37" s="131">
        <f t="shared" si="2"/>
        <v>1.9757771912639142E-2</v>
      </c>
      <c r="L37" s="131">
        <f t="shared" si="3"/>
        <v>33.57273160256505</v>
      </c>
    </row>
    <row r="38" spans="1:12" x14ac:dyDescent="0.2">
      <c r="A38" s="131">
        <v>3.4000000000000017</v>
      </c>
      <c r="B38" s="131">
        <f>Sheet!$D$5*A38*60/(Sheet!$D$7*PI())</f>
        <v>75.757752911742216</v>
      </c>
      <c r="C38" s="131">
        <f>MAX((Sheet!$F$37*1.414*(2*Sheet!$D$32*Sheet!$F$25*B38/60*Sheet!$D$30/1000*Sheet!$D$31/1000)*(Sheet!$D$11/Sheet!$D$33))-1.4,0)</f>
        <v>164.18000000000004</v>
      </c>
      <c r="D38" s="131">
        <f>(Sheet!$D$41^4*Sheet!$D$32^2*Sheet!$F$25^2*B38^2*Sheet!$D$13*0.001*Sheet!$D$11*2*PI()*Sheet!$F$37*Sheet!$D$43)/(144*10^8*Sheet!$D$65)</f>
        <v>23.213811284013815</v>
      </c>
      <c r="E38" s="131">
        <f>A38^3*Sheet!$D$75/2*Sheet!$D$7^2/4*PI()*Sheet!$D$76/100</f>
        <v>239.20612367042932</v>
      </c>
      <c r="F38" s="131">
        <f t="shared" si="0"/>
        <v>215.99231238641551</v>
      </c>
      <c r="G38" s="131">
        <f>IF(F38=0,0,SQRT((C38^2+2*F38*Sheet!$F$69)/(2*Sheet!$F$69^2)-SQRT((C38^2+2*F38*Sheet!$F$69)^2/(4*Sheet!$F$69^4)-(F38^2/Sheet!$F$69^2))))</f>
        <v>1.3059248054313848</v>
      </c>
      <c r="H38" s="131">
        <f>G38^2*Sheet!$F$69</f>
        <v>1.5855778306203392</v>
      </c>
      <c r="I38" s="131">
        <f>G38*Sheet!$D$77</f>
        <v>1.5671097665176617</v>
      </c>
      <c r="J38" s="131">
        <f t="shared" si="1"/>
        <v>212.83962478927751</v>
      </c>
      <c r="K38" s="131">
        <f t="shared" si="2"/>
        <v>1.9984735771865311E-2</v>
      </c>
      <c r="L38" s="131">
        <f t="shared" si="3"/>
        <v>37.261042489602794</v>
      </c>
    </row>
    <row r="39" spans="1:12" x14ac:dyDescent="0.2">
      <c r="A39" s="131">
        <v>3.5000000000000018</v>
      </c>
      <c r="B39" s="131">
        <f>Sheet!$D$5*A39*60/(Sheet!$D$7*PI())</f>
        <v>77.985922115028771</v>
      </c>
      <c r="C39" s="131">
        <f>MAX((Sheet!$F$37*1.414*(2*Sheet!$D$32*Sheet!$F$25*B39/60*Sheet!$D$30/1000*Sheet!$D$31/1000)*(Sheet!$D$11/Sheet!$D$33))-1.4,0)</f>
        <v>169.05000000000013</v>
      </c>
      <c r="D39" s="131">
        <f>(Sheet!$D$41^4*Sheet!$D$32^2*Sheet!$F$25^2*B39^2*Sheet!$D$13*0.001*Sheet!$D$11*2*PI()*Sheet!$F$37*Sheet!$D$43)/(144*10^8*Sheet!$D$65)</f>
        <v>24.599410746467942</v>
      </c>
      <c r="E39" s="131">
        <f>A39^3*Sheet!$D$75/2*Sheet!$D$7^2/4*PI()*Sheet!$D$76/100</f>
        <v>260.93940953515312</v>
      </c>
      <c r="F39" s="131">
        <f t="shared" si="0"/>
        <v>236.33999878868516</v>
      </c>
      <c r="G39" s="131">
        <f>IF(F39=0,0,SQRT((C39^2+2*F39*Sheet!$F$69)/(2*Sheet!$F$69^2)-SQRT((C39^2+2*F39*Sheet!$F$69)^2/(4*Sheet!$F$69^4)-(F39^2/Sheet!$F$69^2))))</f>
        <v>1.3874607961104239</v>
      </c>
      <c r="H39" s="131">
        <f>G39^2*Sheet!$F$69</f>
        <v>1.7897512062148904</v>
      </c>
      <c r="I39" s="131">
        <f>G39*Sheet!$D$77</f>
        <v>1.6649529553325086</v>
      </c>
      <c r="J39" s="131">
        <f t="shared" si="1"/>
        <v>232.88529462713777</v>
      </c>
      <c r="K39" s="131">
        <f t="shared" si="2"/>
        <v>2.0164068437488289E-2</v>
      </c>
      <c r="L39" s="131">
        <f t="shared" si="3"/>
        <v>41.136215565968975</v>
      </c>
    </row>
    <row r="40" spans="1:12" x14ac:dyDescent="0.2">
      <c r="A40" s="131">
        <v>3.6000000000000019</v>
      </c>
      <c r="B40" s="131">
        <f>Sheet!$D$5*A40*60/(Sheet!$D$7*PI())</f>
        <v>80.214091318315297</v>
      </c>
      <c r="C40" s="131">
        <f>MAX((Sheet!$F$37*1.414*(2*Sheet!$D$32*Sheet!$F$25*B40/60*Sheet!$D$30/1000*Sheet!$D$31/1000)*(Sheet!$D$11/Sheet!$D$33))-1.4,0)</f>
        <v>173.92000000000004</v>
      </c>
      <c r="D40" s="131">
        <f>(Sheet!$D$41^4*Sheet!$D$32^2*Sheet!$F$25^2*B40^2*Sheet!$D$13*0.001*Sheet!$D$11*2*PI()*Sheet!$F$37*Sheet!$D$43)/(144*10^8*Sheet!$D$65)</f>
        <v>26.025172512181587</v>
      </c>
      <c r="E40" s="131">
        <f>A40^3*Sheet!$D$75/2*Sheet!$D$7^2/4*PI()*Sheet!$D$76/100</f>
        <v>283.95076597719185</v>
      </c>
      <c r="F40" s="131">
        <f t="shared" si="0"/>
        <v>257.92559346501025</v>
      </c>
      <c r="G40" s="131">
        <f>IF(F40=0,0,SQRT((C40^2+2*F40*Sheet!$F$69)/(2*Sheet!$F$69^2)-SQRT((C40^2+2*F40*Sheet!$F$69)^2/(4*Sheet!$F$69^4)-(F40^2/Sheet!$F$69^2))))</f>
        <v>1.4714387723844318</v>
      </c>
      <c r="H40" s="131">
        <f>G40^2*Sheet!$F$69</f>
        <v>2.0129621718891744</v>
      </c>
      <c r="I40" s="131">
        <f>G40*Sheet!$D$77</f>
        <v>1.765726526861318</v>
      </c>
      <c r="J40" s="131">
        <f t="shared" si="1"/>
        <v>254.14690476625975</v>
      </c>
      <c r="K40" s="131">
        <f t="shared" si="2"/>
        <v>2.0295530475078091E-2</v>
      </c>
      <c r="L40" s="131">
        <f t="shared" si="3"/>
        <v>45.184485157274253</v>
      </c>
    </row>
    <row r="41" spans="1:12" x14ac:dyDescent="0.2">
      <c r="A41" s="131">
        <v>3.700000000000002</v>
      </c>
      <c r="B41" s="131">
        <f>Sheet!$D$5*A41*60/(Sheet!$D$7*PI())</f>
        <v>82.442260521601824</v>
      </c>
      <c r="C41" s="131">
        <f>MAX((Sheet!$F$37*1.414*(2*Sheet!$D$32*Sheet!$F$25*B41/60*Sheet!$D$30/1000*Sheet!$D$31/1000)*(Sheet!$D$11/Sheet!$D$33))-1.4,0)</f>
        <v>178.79000000000005</v>
      </c>
      <c r="D41" s="131">
        <f>(Sheet!$D$41^4*Sheet!$D$32^2*Sheet!$F$25^2*B41^2*Sheet!$D$13*0.001*Sheet!$D$11*2*PI()*Sheet!$F$37*Sheet!$D$43)/(144*10^8*Sheet!$D$65)</f>
        <v>27.491096581154775</v>
      </c>
      <c r="E41" s="131">
        <f>A41^3*Sheet!$D$75/2*Sheet!$D$7^2/4*PI()*Sheet!$D$76/100</f>
        <v>308.27670929875478</v>
      </c>
      <c r="F41" s="131">
        <f t="shared" si="0"/>
        <v>280.78561271760003</v>
      </c>
      <c r="G41" s="131">
        <f>IF(F41=0,0,SQRT((C41^2+2*F41*Sheet!$F$69)/(2*Sheet!$F$69^2)-SQRT((C41^2+2*F41*Sheet!$F$69)^2/(4*Sheet!$F$69^4)-(F41^2/Sheet!$F$69^2))))</f>
        <v>1.5578570551673818</v>
      </c>
      <c r="H41" s="131">
        <f>G41^2*Sheet!$F$69</f>
        <v>2.2563498241317319</v>
      </c>
      <c r="I41" s="131">
        <f>G41*Sheet!$D$77</f>
        <v>1.869428466200858</v>
      </c>
      <c r="J41" s="131">
        <f t="shared" si="1"/>
        <v>276.65983442726741</v>
      </c>
      <c r="K41" s="131">
        <f t="shared" si="2"/>
        <v>2.037914687226108E-2</v>
      </c>
      <c r="L41" s="131">
        <f t="shared" si="3"/>
        <v>49.38968065917075</v>
      </c>
    </row>
    <row r="42" spans="1:12" x14ac:dyDescent="0.2">
      <c r="A42" s="131">
        <v>3.800000000000002</v>
      </c>
      <c r="B42" s="131">
        <f>Sheet!$D$5*A42*60/(Sheet!$D$7*PI())</f>
        <v>84.670429724888365</v>
      </c>
      <c r="C42" s="131">
        <f>MAX((Sheet!$F$37*1.414*(2*Sheet!$D$32*Sheet!$F$25*B42/60*Sheet!$D$30/1000*Sheet!$D$31/1000)*(Sheet!$D$11/Sheet!$D$33))-1.4,0)</f>
        <v>183.66000000000008</v>
      </c>
      <c r="D42" s="131">
        <f>(Sheet!$D$41^4*Sheet!$D$32^2*Sheet!$F$25^2*B42^2*Sheet!$D$13*0.001*Sheet!$D$11*2*PI()*Sheet!$F$37*Sheet!$D$43)/(144*10^8*Sheet!$D$65)</f>
        <v>28.997182953387508</v>
      </c>
      <c r="E42" s="131">
        <f>A42^3*Sheet!$D$75/2*Sheet!$D$7^2/4*PI()*Sheet!$D$76/100</f>
        <v>333.95375580205058</v>
      </c>
      <c r="F42" s="131">
        <f t="shared" si="0"/>
        <v>304.95657284866309</v>
      </c>
      <c r="G42" s="131">
        <f>IF(F42=0,0,SQRT((C42^2+2*F42*Sheet!$F$69)/(2*Sheet!$F$69^2)-SQRT((C42^2+2*F42*Sheet!$F$69)^2/(4*Sheet!$F$69^4)-(F42^2/Sheet!$F$69^2))))</f>
        <v>1.6467139683369239</v>
      </c>
      <c r="H42" s="131">
        <f>G42^2*Sheet!$F$69</f>
        <v>2.5210854238622433</v>
      </c>
      <c r="I42" s="131">
        <f>G42*Sheet!$D$77</f>
        <v>1.9760567620043086</v>
      </c>
      <c r="J42" s="131">
        <f t="shared" si="1"/>
        <v>300.45943066279654</v>
      </c>
      <c r="K42" s="131">
        <f t="shared" si="2"/>
        <v>2.0415203907874067E-2</v>
      </c>
      <c r="L42" s="131">
        <f t="shared" si="3"/>
        <v>53.733319156896748</v>
      </c>
    </row>
    <row r="43" spans="1:12" x14ac:dyDescent="0.2">
      <c r="A43" s="131">
        <v>3.9000000000000021</v>
      </c>
      <c r="B43" s="131">
        <f>Sheet!$D$5*A43*60/(Sheet!$D$7*PI())</f>
        <v>86.898598928174906</v>
      </c>
      <c r="C43" s="131">
        <f>MAX((Sheet!$F$37*1.414*(2*Sheet!$D$32*Sheet!$F$25*B43/60*Sheet!$D$30/1000*Sheet!$D$31/1000)*(Sheet!$D$11/Sheet!$D$33))-1.4,0)</f>
        <v>188.53000000000011</v>
      </c>
      <c r="D43" s="131">
        <f>(Sheet!$D$41^4*Sheet!$D$32^2*Sheet!$F$25^2*B43^2*Sheet!$D$13*0.001*Sheet!$D$11*2*PI()*Sheet!$F$37*Sheet!$D$43)/(144*10^8*Sheet!$D$65)</f>
        <v>30.543431628879787</v>
      </c>
      <c r="E43" s="131">
        <f>A43^3*Sheet!$D$75/2*Sheet!$D$7^2/4*PI()*Sheet!$D$76/100</f>
        <v>361.01842178928854</v>
      </c>
      <c r="F43" s="131">
        <f t="shared" si="0"/>
        <v>330.47499016040877</v>
      </c>
      <c r="G43" s="131">
        <f>IF(F43=0,0,SQRT((C43^2+2*F43*Sheet!$F$69)/(2*Sheet!$F$69^2)-SQRT((C43^2+2*F43*Sheet!$F$69)^2/(4*Sheet!$F$69^4)-(F43^2/Sheet!$F$69^2))))</f>
        <v>1.7380078387392859</v>
      </c>
      <c r="H43" s="131">
        <f>G43^2*Sheet!$F$69</f>
        <v>2.8083723227989759</v>
      </c>
      <c r="I43" s="131">
        <f>G43*Sheet!$D$77</f>
        <v>2.0856094064871429</v>
      </c>
      <c r="J43" s="131">
        <f t="shared" si="1"/>
        <v>325.58100843112265</v>
      </c>
      <c r="K43" s="131">
        <f t="shared" si="2"/>
        <v>2.0404243975171901E-2</v>
      </c>
      <c r="L43" s="131">
        <f t="shared" si="3"/>
        <v>58.194732728269464</v>
      </c>
    </row>
    <row r="44" spans="1:12" x14ac:dyDescent="0.2">
      <c r="A44" s="131">
        <v>4.0000000000000018</v>
      </c>
      <c r="B44" s="131">
        <f>Sheet!$D$5*A44*60/(Sheet!$D$7*PI())</f>
        <v>89.126768131461446</v>
      </c>
      <c r="C44" s="131">
        <f>MAX((Sheet!$F$37*1.414*(2*Sheet!$D$32*Sheet!$F$25*B44/60*Sheet!$D$30/1000*Sheet!$D$31/1000)*(Sheet!$D$11/Sheet!$D$33))-1.4,0)</f>
        <v>193.40000000000012</v>
      </c>
      <c r="D44" s="131">
        <f>(Sheet!$D$41^4*Sheet!$D$32^2*Sheet!$F$25^2*B44^2*Sheet!$D$13*0.001*Sheet!$D$11*2*PI()*Sheet!$F$37*Sheet!$D$43)/(144*10^8*Sheet!$D$65)</f>
        <v>32.129842607631588</v>
      </c>
      <c r="E44" s="131">
        <f>A44^3*Sheet!$D$75/2*Sheet!$D$7^2/4*PI()*Sheet!$D$76/100</f>
        <v>389.50722356267738</v>
      </c>
      <c r="F44" s="131">
        <f t="shared" si="0"/>
        <v>357.37738095504579</v>
      </c>
      <c r="G44" s="131">
        <f>IF(F44=0,0,SQRT((C44^2+2*F44*Sheet!$F$69)/(2*Sheet!$F$69^2)-SQRT((C44^2+2*F44*Sheet!$F$69)^2/(4*Sheet!$F$69^4)-(F44^2/Sheet!$F$69^2))))</f>
        <v>1.8317369961986152</v>
      </c>
      <c r="H44" s="131">
        <f>G44^2*Sheet!$F$69</f>
        <v>3.1194458901002085</v>
      </c>
      <c r="I44" s="131">
        <f>G44*Sheet!$D$77</f>
        <v>2.1980843954383382</v>
      </c>
      <c r="J44" s="131">
        <f t="shared" si="1"/>
        <v>352.05985066950723</v>
      </c>
      <c r="K44" s="131">
        <f t="shared" si="2"/>
        <v>2.0347058402961162E-2</v>
      </c>
      <c r="L44" s="131">
        <f t="shared" si="3"/>
        <v>62.751229323893781</v>
      </c>
    </row>
    <row r="45" spans="1:12" x14ac:dyDescent="0.2">
      <c r="A45" s="131">
        <v>4.1000000000000014</v>
      </c>
      <c r="B45" s="131">
        <f>Sheet!$D$5*A45*60/(Sheet!$D$7*PI())</f>
        <v>91.354937334747959</v>
      </c>
      <c r="C45" s="131">
        <f>MAX((Sheet!$F$37*1.414*(2*Sheet!$D$32*Sheet!$F$25*B45/60*Sheet!$D$30/1000*Sheet!$D$31/1000)*(Sheet!$D$11/Sheet!$D$33))-1.4,0)</f>
        <v>198.27000000000007</v>
      </c>
      <c r="D45" s="131">
        <f>(Sheet!$D$41^4*Sheet!$D$32^2*Sheet!$F$25^2*B45^2*Sheet!$D$13*0.001*Sheet!$D$11*2*PI()*Sheet!$F$37*Sheet!$D$43)/(144*10^8*Sheet!$D$65)</f>
        <v>33.756415889642923</v>
      </c>
      <c r="E45" s="131">
        <f>A45^3*Sheet!$D$75/2*Sheet!$D$7^2/4*PI()*Sheet!$D$76/100</f>
        <v>419.4566774244264</v>
      </c>
      <c r="F45" s="131">
        <f t="shared" si="0"/>
        <v>385.70026153478346</v>
      </c>
      <c r="G45" s="131">
        <f>IF(F45=0,0,SQRT((C45^2+2*F45*Sheet!$F$69)/(2*Sheet!$F$69^2)-SQRT((C45^2+2*F45*Sheet!$F$69)^2/(4*Sheet!$F$69^4)-(F45^2/Sheet!$F$69^2))))</f>
        <v>1.9278997735178443</v>
      </c>
      <c r="H45" s="131">
        <f>G45^2*Sheet!$F$69</f>
        <v>3.4555734392390276</v>
      </c>
      <c r="I45" s="131">
        <f>G45*Sheet!$D$77</f>
        <v>2.313479728221413</v>
      </c>
      <c r="J45" s="131">
        <f t="shared" si="1"/>
        <v>379.93120836732305</v>
      </c>
      <c r="K45" s="131">
        <f t="shared" si="2"/>
        <v>2.0244678343331397E-2</v>
      </c>
      <c r="L45" s="131">
        <f t="shared" si="3"/>
        <v>67.378285528469533</v>
      </c>
    </row>
    <row r="46" spans="1:12" x14ac:dyDescent="0.2">
      <c r="A46" s="131">
        <v>4.2000000000000011</v>
      </c>
      <c r="B46" s="131">
        <f>Sheet!$D$5*A46*60/(Sheet!$D$7*PI())</f>
        <v>93.583106538034485</v>
      </c>
      <c r="C46" s="131">
        <f>MAX((Sheet!$F$37*1.414*(2*Sheet!$D$32*Sheet!$F$25*B46/60*Sheet!$D$30/1000*Sheet!$D$31/1000)*(Sheet!$D$11/Sheet!$D$33))-1.4,0)</f>
        <v>203.1400000000001</v>
      </c>
      <c r="D46" s="131">
        <f>(Sheet!$D$41^4*Sheet!$D$32^2*Sheet!$F$25^2*B46^2*Sheet!$D$13*0.001*Sheet!$D$11*2*PI()*Sheet!$F$37*Sheet!$D$43)/(144*10^8*Sheet!$D$65)</f>
        <v>35.423151474913809</v>
      </c>
      <c r="E46" s="131">
        <f>A46^3*Sheet!$D$75/2*Sheet!$D$7^2/4*PI()*Sheet!$D$76/100</f>
        <v>450.90329967674415</v>
      </c>
      <c r="F46" s="131">
        <f t="shared" si="0"/>
        <v>415.48014820183033</v>
      </c>
      <c r="G46" s="131">
        <f>IF(F46=0,0,SQRT((C46^2+2*F46*Sheet!$F$69)/(2*Sheet!$F$69^2)-SQRT((C46^2+2*F46*Sheet!$F$69)^2/(4*Sheet!$F$69^4)-(F46^2/Sheet!$F$69^2))))</f>
        <v>2.026494506481896</v>
      </c>
      <c r="H46" s="131">
        <f>G46^2*Sheet!$F$69</f>
        <v>3.8180541551419456</v>
      </c>
      <c r="I46" s="131">
        <f>G46*Sheet!$D$77</f>
        <v>2.431793407778275</v>
      </c>
      <c r="J46" s="131">
        <f t="shared" si="1"/>
        <v>409.23030063891008</v>
      </c>
      <c r="K46" s="131">
        <f t="shared" si="2"/>
        <v>2.0098363818303329E-2</v>
      </c>
      <c r="L46" s="131">
        <f t="shared" si="3"/>
        <v>72.049768937178712</v>
      </c>
    </row>
    <row r="47" spans="1:12" x14ac:dyDescent="0.2">
      <c r="A47" s="131">
        <v>4.3000000000000007</v>
      </c>
      <c r="B47" s="131">
        <f>Sheet!$D$5*A47*60/(Sheet!$D$7*PI())</f>
        <v>95.811275741321012</v>
      </c>
      <c r="C47" s="131">
        <f>MAX((Sheet!$F$37*1.414*(2*Sheet!$D$32*Sheet!$F$25*B47/60*Sheet!$D$30/1000*Sheet!$D$31/1000)*(Sheet!$D$11/Sheet!$D$33))-1.4,0)</f>
        <v>208.01000000000008</v>
      </c>
      <c r="D47" s="131">
        <f>(Sheet!$D$41^4*Sheet!$D$32^2*Sheet!$F$25^2*B47^2*Sheet!$D$13*0.001*Sheet!$D$11*2*PI()*Sheet!$F$37*Sheet!$D$43)/(144*10^8*Sheet!$D$65)</f>
        <v>37.130049363444229</v>
      </c>
      <c r="E47" s="131">
        <f>A47^3*Sheet!$D$75/2*Sheet!$D$7^2/4*PI()*Sheet!$D$76/100</f>
        <v>483.8836066218401</v>
      </c>
      <c r="F47" s="131">
        <f t="shared" si="0"/>
        <v>446.75355725839586</v>
      </c>
      <c r="G47" s="131">
        <f>IF(F47=0,0,SQRT((C47^2+2*F47*Sheet!$F$69)/(2*Sheet!$F$69^2)-SQRT((C47^2+2*F47*Sheet!$F$69)^2/(4*Sheet!$F$69^4)-(F47^2/Sheet!$F$69^2))))</f>
        <v>2.1275195338531088</v>
      </c>
      <c r="H47" s="131">
        <f>G47^2*Sheet!$F$69</f>
        <v>4.2082190215541306</v>
      </c>
      <c r="I47" s="131">
        <f>G47*Sheet!$D$77</f>
        <v>2.5530234406237304</v>
      </c>
      <c r="J47" s="131">
        <f t="shared" si="1"/>
        <v>439.99231479621795</v>
      </c>
      <c r="K47" s="131">
        <f t="shared" si="2"/>
        <v>1.9909591039907283E-2</v>
      </c>
      <c r="L47" s="131">
        <f t="shared" si="3"/>
        <v>76.738187343062833</v>
      </c>
    </row>
    <row r="48" spans="1:12" x14ac:dyDescent="0.2">
      <c r="A48" s="131">
        <v>4.4000000000000004</v>
      </c>
      <c r="B48" s="131">
        <f>Sheet!$D$5*A48*60/(Sheet!$D$7*PI())</f>
        <v>98.039444944607538</v>
      </c>
      <c r="C48" s="131">
        <f>MAX((Sheet!$F$37*1.414*(2*Sheet!$D$32*Sheet!$F$25*B48/60*Sheet!$D$30/1000*Sheet!$D$31/1000)*(Sheet!$D$11/Sheet!$D$33))-1.4,0)</f>
        <v>212.88000000000002</v>
      </c>
      <c r="D48" s="131">
        <f>(Sheet!$D$41^4*Sheet!$D$32^2*Sheet!$F$25^2*B48^2*Sheet!$D$13*0.001*Sheet!$D$11*2*PI()*Sheet!$F$37*Sheet!$D$43)/(144*10^8*Sheet!$D$65)</f>
        <v>38.877109555234185</v>
      </c>
      <c r="E48" s="131">
        <f>A48^3*Sheet!$D$75/2*Sheet!$D$7^2/4*PI()*Sheet!$D$76/100</f>
        <v>518.43411456192314</v>
      </c>
      <c r="F48" s="131">
        <f t="shared" si="0"/>
        <v>479.55700500668894</v>
      </c>
      <c r="G48" s="131">
        <f>IF(F48=0,0,SQRT((C48^2+2*F48*Sheet!$F$69)/(2*Sheet!$F$69^2)-SQRT((C48^2+2*F48*Sheet!$F$69)^2/(4*Sheet!$F$69^4)-(F48^2/Sheet!$F$69^2))))</f>
        <v>2.2309731973785314</v>
      </c>
      <c r="H48" s="131">
        <f>G48^2*Sheet!$F$69</f>
        <v>4.6274307487022828</v>
      </c>
      <c r="I48" s="131">
        <f>G48*Sheet!$D$77</f>
        <v>2.6771678368542378</v>
      </c>
      <c r="J48" s="131">
        <f t="shared" si="1"/>
        <v>472.25240642113243</v>
      </c>
      <c r="K48" s="131">
        <f t="shared" si="2"/>
        <v>1.9680038138652621E-2</v>
      </c>
      <c r="L48" s="131">
        <f t="shared" si="3"/>
        <v>81.41496143628008</v>
      </c>
    </row>
    <row r="49" spans="1:12" x14ac:dyDescent="0.2">
      <c r="A49" s="131">
        <v>4.5</v>
      </c>
      <c r="B49" s="131">
        <f>Sheet!$D$5*A49*60/(Sheet!$D$7*PI())</f>
        <v>100.26761414789407</v>
      </c>
      <c r="C49" s="131">
        <f>MAX((Sheet!$F$37*1.414*(2*Sheet!$D$32*Sheet!$F$25*B49/60*Sheet!$D$30/1000*Sheet!$D$31/1000)*(Sheet!$D$11/Sheet!$D$33))-1.4,0)</f>
        <v>217.75</v>
      </c>
      <c r="D49" s="131">
        <f>(Sheet!$D$41^4*Sheet!$D$32^2*Sheet!$F$25^2*B49^2*Sheet!$D$13*0.001*Sheet!$D$11*2*PI()*Sheet!$F$37*Sheet!$D$43)/(144*10^8*Sheet!$D$65)</f>
        <v>40.66433205028369</v>
      </c>
      <c r="E49" s="131">
        <f>A49^3*Sheet!$D$75/2*Sheet!$D$7^2/4*PI()*Sheet!$D$76/100</f>
        <v>554.59133979920216</v>
      </c>
      <c r="F49" s="131">
        <f t="shared" si="0"/>
        <v>513.92700774891841</v>
      </c>
      <c r="G49" s="131">
        <f>IF(F49=0,0,SQRT((C49^2+2*F49*Sheet!$F$69)/(2*Sheet!$F$69^2)-SQRT((C49^2+2*F49*Sheet!$F$69)^2/(4*Sheet!$F$69^4)-(F49^2/Sheet!$F$69^2))))</f>
        <v>2.3368538417798117</v>
      </c>
      <c r="H49" s="131">
        <f>G49^2*Sheet!$F$69</f>
        <v>5.0770837011435281</v>
      </c>
      <c r="I49" s="131">
        <f>G49*Sheet!$D$77</f>
        <v>2.804224610135774</v>
      </c>
      <c r="J49" s="131">
        <f t="shared" si="1"/>
        <v>506.04569943763914</v>
      </c>
      <c r="K49" s="131">
        <f t="shared" si="2"/>
        <v>1.9411569453778619E-2</v>
      </c>
      <c r="L49" s="131">
        <f t="shared" si="3"/>
        <v>86.050717274836671</v>
      </c>
    </row>
    <row r="50" spans="1:12" x14ac:dyDescent="0.2">
      <c r="A50" s="131">
        <v>4.5999999999999996</v>
      </c>
      <c r="B50" s="131">
        <f>Sheet!$D$5*A50*60/(Sheet!$D$7*PI())</f>
        <v>102.49578335118059</v>
      </c>
      <c r="C50" s="131">
        <f>MAX((Sheet!$F$37*1.414*(2*Sheet!$D$32*Sheet!$F$25*B50/60*Sheet!$D$30/1000*Sheet!$D$31/1000)*(Sheet!$D$11/Sheet!$D$33))-1.4,0)</f>
        <v>222.62</v>
      </c>
      <c r="D50" s="131">
        <f>(Sheet!$D$41^4*Sheet!$D$32^2*Sheet!$F$25^2*B50^2*Sheet!$D$13*0.001*Sheet!$D$11*2*PI()*Sheet!$F$37*Sheet!$D$43)/(144*10^8*Sheet!$D$65)</f>
        <v>42.491716848592731</v>
      </c>
      <c r="E50" s="131">
        <f>A50^3*Sheet!$D$75/2*Sheet!$D$7^2/4*PI()*Sheet!$D$76/100</f>
        <v>592.39179863588606</v>
      </c>
      <c r="F50" s="131">
        <f t="shared" si="0"/>
        <v>549.90008178729329</v>
      </c>
      <c r="G50" s="131">
        <f>IF(F50=0,0,SQRT((C50^2+2*F50*Sheet!$F$69)/(2*Sheet!$F$69^2)-SQRT((C50^2+2*F50*Sheet!$F$69)^2/(4*Sheet!$F$69^4)-(F50^2/Sheet!$F$69^2))))</f>
        <v>2.4451598147577731</v>
      </c>
      <c r="H50" s="131">
        <f>G50^2*Sheet!$F$69</f>
        <v>5.5586038259221073</v>
      </c>
      <c r="I50" s="131">
        <f>G50*Sheet!$D$77</f>
        <v>2.9341917777093278</v>
      </c>
      <c r="J50" s="131">
        <f t="shared" si="1"/>
        <v>541.40728618366188</v>
      </c>
      <c r="K50" s="131">
        <f t="shared" si="2"/>
        <v>1.9106218554843877E-2</v>
      </c>
      <c r="L50" s="131">
        <f t="shared" si="3"/>
        <v>90.615594408207144</v>
      </c>
    </row>
    <row r="51" spans="1:12" x14ac:dyDescent="0.2">
      <c r="A51" s="131">
        <v>4.6999999999999993</v>
      </c>
      <c r="B51" s="131">
        <f>Sheet!$D$5*A51*60/(Sheet!$D$7*PI())</f>
        <v>104.7239525544671</v>
      </c>
      <c r="C51" s="131">
        <f>MAX((Sheet!$F$37*1.414*(2*Sheet!$D$32*Sheet!$F$25*B51/60*Sheet!$D$30/1000*Sheet!$D$31/1000)*(Sheet!$D$11/Sheet!$D$33))-1.4,0)</f>
        <v>227.48999999999992</v>
      </c>
      <c r="D51" s="131">
        <f>(Sheet!$D$41^4*Sheet!$D$32^2*Sheet!$F$25^2*B51^2*Sheet!$D$13*0.001*Sheet!$D$11*2*PI()*Sheet!$F$37*Sheet!$D$43)/(144*10^8*Sheet!$D$65)</f>
        <v>44.359263950161278</v>
      </c>
      <c r="E51" s="131">
        <f>A51^3*Sheet!$D$75/2*Sheet!$D$7^2/4*PI()*Sheet!$D$76/100</f>
        <v>631.87200737418402</v>
      </c>
      <c r="F51" s="131">
        <f t="shared" si="0"/>
        <v>587.5127434240228</v>
      </c>
      <c r="G51" s="131">
        <f>IF(F51=0,0,SQRT((C51^2+2*F51*Sheet!$F$69)/(2*Sheet!$F$69^2)-SQRT((C51^2+2*F51*Sheet!$F$69)^2/(4*Sheet!$F$69^4)-(F51^2/Sheet!$F$69^2))))</f>
        <v>2.5558894669790315</v>
      </c>
      <c r="H51" s="131">
        <f>G51^2*Sheet!$F$69</f>
        <v>6.0734485808985683</v>
      </c>
      <c r="I51" s="131">
        <f>G51*Sheet!$D$77</f>
        <v>3.0670673603748377</v>
      </c>
      <c r="J51" s="131">
        <f t="shared" si="1"/>
        <v>578.37222748274939</v>
      </c>
      <c r="K51" s="131">
        <f t="shared" si="2"/>
        <v>1.8766170177902192E-2</v>
      </c>
      <c r="L51" s="131">
        <f t="shared" si="3"/>
        <v>95.079565228715424</v>
      </c>
    </row>
    <row r="52" spans="1:12" x14ac:dyDescent="0.2">
      <c r="A52" s="131">
        <v>4.7999999999999989</v>
      </c>
      <c r="B52" s="131">
        <f>Sheet!$D$5*A52*60/(Sheet!$D$7*PI())</f>
        <v>106.95212175775364</v>
      </c>
      <c r="C52" s="131">
        <f>MAX((Sheet!$F$37*1.414*(2*Sheet!$D$32*Sheet!$F$25*B52/60*Sheet!$D$30/1000*Sheet!$D$31/1000)*(Sheet!$D$11/Sheet!$D$33))-1.4,0)</f>
        <v>232.35999999999993</v>
      </c>
      <c r="D52" s="131">
        <f>(Sheet!$D$41^4*Sheet!$D$32^2*Sheet!$F$25^2*B52^2*Sheet!$D$13*0.001*Sheet!$D$11*2*PI()*Sheet!$F$37*Sheet!$D$43)/(144*10^8*Sheet!$D$65)</f>
        <v>46.266973354989418</v>
      </c>
      <c r="E52" s="131">
        <f>A52^3*Sheet!$D$75/2*Sheet!$D$7^2/4*PI()*Sheet!$D$76/100</f>
        <v>673.06848231630511</v>
      </c>
      <c r="F52" s="131">
        <f t="shared" si="0"/>
        <v>626.80150896131568</v>
      </c>
      <c r="G52" s="131">
        <f>IF(F52=0,0,SQRT((C52^2+2*F52*Sheet!$F$69)/(2*Sheet!$F$69^2)-SQRT((C52^2+2*F52*Sheet!$F$69)^2/(4*Sheet!$F$69^4)-(F52^2/Sheet!$F$69^2))))</f>
        <v>2.669041152081983</v>
      </c>
      <c r="H52" s="131">
        <f>G52^2*Sheet!$F$69</f>
        <v>6.6231068634104018</v>
      </c>
      <c r="I52" s="131">
        <f>G52*Sheet!$D$77</f>
        <v>3.2028493824983797</v>
      </c>
      <c r="J52" s="131">
        <f t="shared" si="1"/>
        <v>616.97555271540693</v>
      </c>
      <c r="K52" s="131">
        <f t="shared" si="2"/>
        <v>1.8393741270553356E-2</v>
      </c>
      <c r="L52" s="131">
        <f t="shared" si="3"/>
        <v>99.412760897277707</v>
      </c>
    </row>
    <row r="53" spans="1:12" x14ac:dyDescent="0.2">
      <c r="A53" s="131">
        <v>4.8999999999999986</v>
      </c>
      <c r="B53" s="131">
        <f>Sheet!$D$5*A53*60/(Sheet!$D$7*PI())</f>
        <v>109.18029096104019</v>
      </c>
      <c r="C53" s="131">
        <f>MAX((Sheet!$F$37*1.414*(2*Sheet!$D$32*Sheet!$F$25*B53/60*Sheet!$D$30/1000*Sheet!$D$31/1000)*(Sheet!$D$11/Sheet!$D$33))-1.4,0)</f>
        <v>237.22999999999993</v>
      </c>
      <c r="D53" s="131">
        <f>(Sheet!$D$41^4*Sheet!$D$32^2*Sheet!$F$25^2*B53^2*Sheet!$D$13*0.001*Sheet!$D$11*2*PI()*Sheet!$F$37*Sheet!$D$43)/(144*10^8*Sheet!$D$65)</f>
        <v>48.214845063077085</v>
      </c>
      <c r="E53" s="131">
        <f>A53^3*Sheet!$D$75/2*Sheet!$D$7^2/4*PI()*Sheet!$D$76/100</f>
        <v>716.01773976445838</v>
      </c>
      <c r="F53" s="131">
        <f t="shared" si="0"/>
        <v>667.80289470138132</v>
      </c>
      <c r="G53" s="131">
        <f>IF(F53=0,0,SQRT((C53^2+2*F53*Sheet!$F$69)/(2*Sheet!$F$69^2)-SQRT((C53^2+2*F53*Sheet!$F$69)^2/(4*Sheet!$F$69^4)-(F53^2/Sheet!$F$69^2))))</f>
        <v>2.7846132266667998</v>
      </c>
      <c r="H53" s="131">
        <f>G53^2*Sheet!$F$69</f>
        <v>7.2090989391085847</v>
      </c>
      <c r="I53" s="131">
        <f>G53*Sheet!$D$77</f>
        <v>3.3415358720001596</v>
      </c>
      <c r="J53" s="131">
        <f t="shared" si="1"/>
        <v>657.25225989027263</v>
      </c>
      <c r="K53" s="131">
        <f t="shared" si="2"/>
        <v>1.7991361348413649E-2</v>
      </c>
      <c r="L53" s="131">
        <f t="shared" si="3"/>
        <v>103.58579904558698</v>
      </c>
    </row>
    <row r="54" spans="1:12" x14ac:dyDescent="0.2">
      <c r="A54" s="131">
        <v>4.9999999999999982</v>
      </c>
      <c r="B54" s="131">
        <f>Sheet!$D$5*A54*60/(Sheet!$D$7*PI())</f>
        <v>111.4084601643267</v>
      </c>
      <c r="C54" s="131">
        <f>MAX((Sheet!$F$37*1.414*(2*Sheet!$D$32*Sheet!$F$25*B54/60*Sheet!$D$30/1000*Sheet!$D$31/1000)*(Sheet!$D$11/Sheet!$D$33))-1.4,0)</f>
        <v>242.09999999999994</v>
      </c>
      <c r="D54" s="131">
        <f>(Sheet!$D$41^4*Sheet!$D$32^2*Sheet!$F$25^2*B54^2*Sheet!$D$13*0.001*Sheet!$D$11*2*PI()*Sheet!$F$37*Sheet!$D$43)/(144*10^8*Sheet!$D$65)</f>
        <v>50.20287907442426</v>
      </c>
      <c r="E54" s="131">
        <f>A54^3*Sheet!$D$75/2*Sheet!$D$7^2/4*PI()*Sheet!$D$76/100</f>
        <v>760.75629602085246</v>
      </c>
      <c r="F54" s="131">
        <f t="shared" si="0"/>
        <v>710.55341694642823</v>
      </c>
      <c r="G54" s="131">
        <f>IF(F54=0,0,SQRT((C54^2+2*F54*Sheet!$F$69)/(2*Sheet!$F$69^2)-SQRT((C54^2+2*F54*Sheet!$F$69)^2/(4*Sheet!$F$69^4)-(F54^2/Sheet!$F$69^2))))</f>
        <v>2.9026040502908539</v>
      </c>
      <c r="H54" s="131">
        <f>G54^2*Sheet!$F$69</f>
        <v>7.8329763710613038</v>
      </c>
      <c r="I54" s="131">
        <f>G54*Sheet!$D$77</f>
        <v>3.4831248603490246</v>
      </c>
      <c r="J54" s="131">
        <f t="shared" si="1"/>
        <v>699.23731571501798</v>
      </c>
      <c r="K54" s="131">
        <f t="shared" si="2"/>
        <v>1.7561552370935044E-2</v>
      </c>
      <c r="L54" s="131">
        <f t="shared" si="3"/>
        <v>107.57010839925805</v>
      </c>
    </row>
    <row r="55" spans="1:12" x14ac:dyDescent="0.2">
      <c r="A55" s="131">
        <v>5.0999999999999979</v>
      </c>
      <c r="B55" s="131">
        <f>Sheet!$D$5*A55*60/(Sheet!$D$7*PI())</f>
        <v>113.63662936761322</v>
      </c>
      <c r="C55" s="131">
        <f>MAX((Sheet!$F$37*1.414*(2*Sheet!$D$32*Sheet!$F$25*B55/60*Sheet!$D$30/1000*Sheet!$D$31/1000)*(Sheet!$D$11/Sheet!$D$33))-1.4,0)</f>
        <v>246.96999999999994</v>
      </c>
      <c r="D55" s="131">
        <f>(Sheet!$D$41^4*Sheet!$D$32^2*Sheet!$F$25^2*B55^2*Sheet!$D$13*0.001*Sheet!$D$11*2*PI()*Sheet!$F$37*Sheet!$D$43)/(144*10^8*Sheet!$D$65)</f>
        <v>52.231075389031005</v>
      </c>
      <c r="E55" s="131">
        <f>A55^3*Sheet!$D$75/2*Sheet!$D$7^2/4*PI()*Sheet!$D$76/100</f>
        <v>807.32066738769663</v>
      </c>
      <c r="F55" s="131">
        <f t="shared" si="0"/>
        <v>755.08959199866558</v>
      </c>
      <c r="G55" s="131">
        <f>IF(F55=0,0,SQRT((C55^2+2*F55*Sheet!$F$69)/(2*Sheet!$F$69^2)-SQRT((C55^2+2*F55*Sheet!$F$69)^2/(4*Sheet!$F$69^4)-(F55^2/Sheet!$F$69^2))))</f>
        <v>3.0230119854622632</v>
      </c>
      <c r="H55" s="131">
        <f>G55^2*Sheet!$F$69</f>
        <v>8.4963219490910546</v>
      </c>
      <c r="I55" s="131">
        <f>G55*Sheet!$D$77</f>
        <v>3.6276143825547158</v>
      </c>
      <c r="J55" s="131">
        <f t="shared" si="1"/>
        <v>742.96565566701986</v>
      </c>
      <c r="K55" s="131">
        <f t="shared" si="2"/>
        <v>1.710690834697124E-2</v>
      </c>
      <c r="L55" s="131">
        <f t="shared" si="3"/>
        <v>111.33824549764157</v>
      </c>
    </row>
    <row r="56" spans="1:12" x14ac:dyDescent="0.2">
      <c r="A56" s="131">
        <v>5.1999999999999975</v>
      </c>
      <c r="B56" s="131">
        <f>Sheet!$D$5*A56*60/(Sheet!$D$7*PI())</f>
        <v>115.86479857089977</v>
      </c>
      <c r="C56" s="131">
        <f>MAX((Sheet!$F$37*1.414*(2*Sheet!$D$32*Sheet!$F$25*B56/60*Sheet!$D$30/1000*Sheet!$D$31/1000)*(Sheet!$D$11/Sheet!$D$33))-1.4,0)</f>
        <v>251.83999999999992</v>
      </c>
      <c r="D56" s="131">
        <f>(Sheet!$D$41^4*Sheet!$D$32^2*Sheet!$F$25^2*B56^2*Sheet!$D$13*0.001*Sheet!$D$11*2*PI()*Sheet!$F$37*Sheet!$D$43)/(144*10^8*Sheet!$D$65)</f>
        <v>54.299434006897293</v>
      </c>
      <c r="E56" s="131">
        <f>A56^3*Sheet!$D$75/2*Sheet!$D$7^2/4*PI()*Sheet!$D$76/100</f>
        <v>855.74737016719996</v>
      </c>
      <c r="F56" s="131">
        <f t="shared" si="0"/>
        <v>801.44793616030267</v>
      </c>
      <c r="G56" s="131">
        <f>IF(F56=0,0,SQRT((C56^2+2*F56*Sheet!$F$69)/(2*Sheet!$F$69^2)-SQRT((C56^2+2*F56*Sheet!$F$69)^2/(4*Sheet!$F$69^4)-(F56^2/Sheet!$F$69^2))))</f>
        <v>3.1458353976374114</v>
      </c>
      <c r="H56" s="131">
        <f>G56^2*Sheet!$F$69</f>
        <v>9.2007496193755944</v>
      </c>
      <c r="I56" s="131">
        <f>G56*Sheet!$D$77</f>
        <v>3.7750024771648936</v>
      </c>
      <c r="J56" s="131">
        <f t="shared" si="1"/>
        <v>788.47218406376214</v>
      </c>
      <c r="K56" s="131">
        <f t="shared" si="2"/>
        <v>1.6630074880049535E-2</v>
      </c>
      <c r="L56" s="131">
        <f t="shared" si="3"/>
        <v>114.8641988055131</v>
      </c>
    </row>
    <row r="57" spans="1:12" x14ac:dyDescent="0.2">
      <c r="A57" s="131">
        <v>5.2999999999999972</v>
      </c>
      <c r="B57" s="131">
        <f>Sheet!$D$5*A57*60/(Sheet!$D$7*PI())</f>
        <v>118.09296777418628</v>
      </c>
      <c r="C57" s="131">
        <f>MAX((Sheet!$F$37*1.414*(2*Sheet!$D$32*Sheet!$F$25*B57/60*Sheet!$D$30/1000*Sheet!$D$31/1000)*(Sheet!$D$11/Sheet!$D$33))-1.4,0)</f>
        <v>256.70999999999987</v>
      </c>
      <c r="D57" s="131">
        <f>(Sheet!$D$41^4*Sheet!$D$32^2*Sheet!$F$25^2*B57^2*Sheet!$D$13*0.001*Sheet!$D$11*2*PI()*Sheet!$F$37*Sheet!$D$43)/(144*10^8*Sheet!$D$65)</f>
        <v>56.407954928023074</v>
      </c>
      <c r="E57" s="131">
        <f>A57^3*Sheet!$D$75/2*Sheet!$D$7^2/4*PI()*Sheet!$D$76/100</f>
        <v>906.0729206615714</v>
      </c>
      <c r="F57" s="131">
        <f t="shared" si="0"/>
        <v>849.66496573354834</v>
      </c>
      <c r="G57" s="131">
        <f>IF(F57=0,0,SQRT((C57^2+2*F57*Sheet!$F$69)/(2*Sheet!$F$69^2)-SQRT((C57^2+2*F57*Sheet!$F$69)^2/(4*Sheet!$F$69^4)-(F57^2/Sheet!$F$69^2))))</f>
        <v>3.2710726552103941</v>
      </c>
      <c r="H57" s="131">
        <f>G57^2*Sheet!$F$69</f>
        <v>9.9479044142450128</v>
      </c>
      <c r="I57" s="131">
        <f>G57*Sheet!$D$77</f>
        <v>3.925287186252473</v>
      </c>
      <c r="J57" s="131">
        <f t="shared" si="1"/>
        <v>835.79177413305081</v>
      </c>
      <c r="K57" s="131">
        <f t="shared" si="2"/>
        <v>1.6133728860012048E-2</v>
      </c>
      <c r="L57" s="131">
        <f t="shared" si="3"/>
        <v>118.12367571746978</v>
      </c>
    </row>
    <row r="58" spans="1:12" x14ac:dyDescent="0.2">
      <c r="A58" s="131">
        <v>5.3999999999999968</v>
      </c>
      <c r="B58" s="131">
        <f>Sheet!$D$5*A58*60/(Sheet!$D$7*PI())</f>
        <v>120.3211369774728</v>
      </c>
      <c r="C58" s="131">
        <f>MAX((Sheet!$F$37*1.414*(2*Sheet!$D$32*Sheet!$F$25*B58/60*Sheet!$D$30/1000*Sheet!$D$31/1000)*(Sheet!$D$11/Sheet!$D$33))-1.4,0)</f>
        <v>261.57999999999993</v>
      </c>
      <c r="D58" s="131">
        <f>(Sheet!$D$41^4*Sheet!$D$32^2*Sheet!$F$25^2*B58^2*Sheet!$D$13*0.001*Sheet!$D$11*2*PI()*Sheet!$F$37*Sheet!$D$43)/(144*10^8*Sheet!$D$65)</f>
        <v>58.556638152408411</v>
      </c>
      <c r="E58" s="131">
        <f>A58^3*Sheet!$D$75/2*Sheet!$D$7^2/4*PI()*Sheet!$D$76/100</f>
        <v>958.33383517301945</v>
      </c>
      <c r="F58" s="131">
        <f t="shared" si="0"/>
        <v>899.77719702061108</v>
      </c>
      <c r="G58" s="131">
        <f>IF(F58=0,0,SQRT((C58^2+2*F58*Sheet!$F$69)/(2*Sheet!$F$69^2)-SQRT((C58^2+2*F58*Sheet!$F$69)^2/(4*Sheet!$F$69^4)-(F58^2/Sheet!$F$69^2))))</f>
        <v>3.3987221295137409</v>
      </c>
      <c r="H58" s="131">
        <f>G58^2*Sheet!$F$69</f>
        <v>10.739462382283262</v>
      </c>
      <c r="I58" s="131">
        <f>G58*Sheet!$D$77</f>
        <v>4.0784665554164885</v>
      </c>
      <c r="J58" s="131">
        <f t="shared" si="1"/>
        <v>884.95926808291131</v>
      </c>
      <c r="K58" s="131">
        <f t="shared" si="2"/>
        <v>1.5620558501638251E-2</v>
      </c>
      <c r="L58" s="131">
        <f t="shared" si="3"/>
        <v>121.09436824342731</v>
      </c>
    </row>
    <row r="59" spans="1:12" x14ac:dyDescent="0.2">
      <c r="A59" s="131">
        <v>5.4999999999999964</v>
      </c>
      <c r="B59" s="131">
        <f>Sheet!$D$5*A59*60/(Sheet!$D$7*PI())</f>
        <v>122.54930618075932</v>
      </c>
      <c r="C59" s="131">
        <f>MAX((Sheet!$F$37*1.414*(2*Sheet!$D$32*Sheet!$F$25*B59/60*Sheet!$D$30/1000*Sheet!$D$31/1000)*(Sheet!$D$11/Sheet!$D$33))-1.4,0)</f>
        <v>266.44999999999982</v>
      </c>
      <c r="D59" s="131">
        <f>(Sheet!$D$41^4*Sheet!$D$32^2*Sheet!$F$25^2*B59^2*Sheet!$D$13*0.001*Sheet!$D$11*2*PI()*Sheet!$F$37*Sheet!$D$43)/(144*10^8*Sheet!$D$65)</f>
        <v>60.745483680053297</v>
      </c>
      <c r="E59" s="131">
        <f>A59^3*Sheet!$D$75/2*Sheet!$D$7^2/4*PI()*Sheet!$D$76/100</f>
        <v>1012.5666300037539</v>
      </c>
      <c r="F59" s="131">
        <f t="shared" si="0"/>
        <v>951.82114632370053</v>
      </c>
      <c r="G59" s="131">
        <f>IF(F59=0,0,SQRT((C59^2+2*F59*Sheet!$F$69)/(2*Sheet!$F$69^2)-SQRT((C59^2+2*F59*Sheet!$F$69)^2/(4*Sheet!$F$69^4)-(F59^2/Sheet!$F$69^2))))</f>
        <v>3.5287821948019196</v>
      </c>
      <c r="H59" s="131">
        <f>G59^2*Sheet!$F$69</f>
        <v>11.577130518564944</v>
      </c>
      <c r="I59" s="131">
        <f>G59*Sheet!$D$77</f>
        <v>4.2345386337623037</v>
      </c>
      <c r="J59" s="131">
        <f t="shared" si="1"/>
        <v>936.00947717137331</v>
      </c>
      <c r="K59" s="131">
        <f t="shared" si="2"/>
        <v>1.5093243922196613E-2</v>
      </c>
      <c r="L59" s="131">
        <f t="shared" si="3"/>
        <v>123.75619352733285</v>
      </c>
    </row>
    <row r="60" spans="1:12" x14ac:dyDescent="0.2">
      <c r="A60" s="131">
        <v>5.5999999999999961</v>
      </c>
      <c r="B60" s="131">
        <f>Sheet!$D$5*A60*60/(Sheet!$D$7*PI())</f>
        <v>124.77747538404587</v>
      </c>
      <c r="C60" s="131">
        <f>MAX((Sheet!$F$37*1.414*(2*Sheet!$D$32*Sheet!$F$25*B60/60*Sheet!$D$30/1000*Sheet!$D$31/1000)*(Sheet!$D$11/Sheet!$D$33))-1.4,0)</f>
        <v>271.31999999999982</v>
      </c>
      <c r="D60" s="131">
        <f>(Sheet!$D$41^4*Sheet!$D$32^2*Sheet!$F$25^2*B60^2*Sheet!$D$13*0.001*Sheet!$D$11*2*PI()*Sheet!$F$37*Sheet!$D$43)/(144*10^8*Sheet!$D$65)</f>
        <v>62.974491510957776</v>
      </c>
      <c r="E60" s="131">
        <f>A60^3*Sheet!$D$75/2*Sheet!$D$7^2/4*PI()*Sheet!$D$76/100</f>
        <v>1068.8078214559832</v>
      </c>
      <c r="F60" s="131">
        <f t="shared" si="0"/>
        <v>1005.8333299450254</v>
      </c>
      <c r="G60" s="131">
        <f>IF(F60=0,0,SQRT((C60^2+2*F60*Sheet!$F$69)/(2*Sheet!$F$69^2)-SQRT((C60^2+2*F60*Sheet!$F$69)^2/(4*Sheet!$F$69^4)-(F60^2/Sheet!$F$69^2))))</f>
        <v>3.661251228252826</v>
      </c>
      <c r="H60" s="131">
        <f>G60^2*Sheet!$F$69</f>
        <v>12.462646695237101</v>
      </c>
      <c r="I60" s="131">
        <f>G60*Sheet!$D$77</f>
        <v>4.3935014739033909</v>
      </c>
      <c r="J60" s="131">
        <f t="shared" si="1"/>
        <v>988.9771817758849</v>
      </c>
      <c r="K60" s="131">
        <f t="shared" si="2"/>
        <v>1.4554438438780787E-2</v>
      </c>
      <c r="L60" s="131">
        <f t="shared" si="3"/>
        <v>126.09150578336045</v>
      </c>
    </row>
    <row r="61" spans="1:12" x14ac:dyDescent="0.2">
      <c r="A61" s="131">
        <v>5.6999999999999957</v>
      </c>
      <c r="B61" s="131">
        <f>Sheet!$D$5*A61*60/(Sheet!$D$7*PI())</f>
        <v>127.00564458733238</v>
      </c>
      <c r="C61" s="131">
        <f>MAX((Sheet!$F$37*1.414*(2*Sheet!$D$32*Sheet!$F$25*B61/60*Sheet!$D$30/1000*Sheet!$D$31/1000)*(Sheet!$D$11/Sheet!$D$33))-1.4,0)</f>
        <v>276.18999999999983</v>
      </c>
      <c r="D61" s="131">
        <f>(Sheet!$D$41^4*Sheet!$D$32^2*Sheet!$F$25^2*B61^2*Sheet!$D$13*0.001*Sheet!$D$11*2*PI()*Sheet!$F$37*Sheet!$D$43)/(144*10^8*Sheet!$D$65)</f>
        <v>65.243661645121733</v>
      </c>
      <c r="E61" s="131">
        <f>A61^3*Sheet!$D$75/2*Sheet!$D$7^2/4*PI()*Sheet!$D$76/100</f>
        <v>1127.0939258319165</v>
      </c>
      <c r="F61" s="131">
        <f t="shared" si="0"/>
        <v>1061.8502641867949</v>
      </c>
      <c r="G61" s="131">
        <f>IF(F61=0,0,SQRT((C61^2+2*F61*Sheet!$F$69)/(2*Sheet!$F$69^2)-SQRT((C61^2+2*F61*Sheet!$F$69)^2/(4*Sheet!$F$69^4)-(F61^2/Sheet!$F$69^2))))</f>
        <v>3.7961276099581336</v>
      </c>
      <c r="H61" s="131">
        <f>G61^2*Sheet!$F$69</f>
        <v>13.397779592270131</v>
      </c>
      <c r="I61" s="131">
        <f>G61*Sheet!$D$77</f>
        <v>4.5553531319497598</v>
      </c>
      <c r="J61" s="131">
        <f t="shared" si="1"/>
        <v>1043.8971314625751</v>
      </c>
      <c r="K61" s="131">
        <f t="shared" si="2"/>
        <v>1.4006750752988073E-2</v>
      </c>
      <c r="L61" s="131">
        <f t="shared" si="3"/>
        <v>128.08527672568229</v>
      </c>
    </row>
    <row r="62" spans="1:12" x14ac:dyDescent="0.2">
      <c r="A62" s="131">
        <v>5.7999999999999954</v>
      </c>
      <c r="B62" s="131">
        <f>Sheet!$D$5*A62*60/(Sheet!$D$7*PI())</f>
        <v>129.23381379061891</v>
      </c>
      <c r="C62" s="131">
        <f>MAX((Sheet!$F$37*1.414*(2*Sheet!$D$32*Sheet!$F$25*B62/60*Sheet!$D$30/1000*Sheet!$D$31/1000)*(Sheet!$D$11/Sheet!$D$33))-1.4,0)</f>
        <v>281.05999999999977</v>
      </c>
      <c r="D62" s="131">
        <f>(Sheet!$D$41^4*Sheet!$D$32^2*Sheet!$F$25^2*B62^2*Sheet!$D$13*0.001*Sheet!$D$11*2*PI()*Sheet!$F$37*Sheet!$D$43)/(144*10^8*Sheet!$D$65)</f>
        <v>67.552994082545212</v>
      </c>
      <c r="E62" s="131">
        <f>A62^3*Sheet!$D$75/2*Sheet!$D$7^2/4*PI()*Sheet!$D$76/100</f>
        <v>1187.4614594337627</v>
      </c>
      <c r="F62" s="131">
        <f t="shared" si="0"/>
        <v>1119.9084653512175</v>
      </c>
      <c r="G62" s="131">
        <f>IF(F62=0,0,SQRT((C62^2+2*F62*Sheet!$F$69)/(2*Sheet!$F$69^2)-SQRT((C62^2+2*F62*Sheet!$F$69)^2/(4*Sheet!$F$69^4)-(F62^2/Sheet!$F$69^2))))</f>
        <v>3.9334097229163461</v>
      </c>
      <c r="H62" s="131">
        <f>G62^2*Sheet!$F$69</f>
        <v>14.384328628458992</v>
      </c>
      <c r="I62" s="131">
        <f>G62*Sheet!$D$77</f>
        <v>4.7200916674996147</v>
      </c>
      <c r="J62" s="131">
        <f t="shared" si="1"/>
        <v>1100.8040450552589</v>
      </c>
      <c r="K62" s="131">
        <f t="shared" si="2"/>
        <v>1.3452728175249364E-2</v>
      </c>
      <c r="L62" s="131">
        <f t="shared" si="3"/>
        <v>129.72524210892777</v>
      </c>
    </row>
    <row r="63" spans="1:12" x14ac:dyDescent="0.2">
      <c r="A63" s="131">
        <v>5.899999999999995</v>
      </c>
      <c r="B63" s="131">
        <f>Sheet!$D$5*A63*60/(Sheet!$D$7*PI())</f>
        <v>131.46198299390545</v>
      </c>
      <c r="C63" s="131">
        <f>MAX((Sheet!$F$37*1.414*(2*Sheet!$D$32*Sheet!$F$25*B63/60*Sheet!$D$30/1000*Sheet!$D$31/1000)*(Sheet!$D$11/Sheet!$D$33))-1.4,0)</f>
        <v>285.92999999999984</v>
      </c>
      <c r="D63" s="131">
        <f>(Sheet!$D$41^4*Sheet!$D$32^2*Sheet!$F$25^2*B63^2*Sheet!$D$13*0.001*Sheet!$D$11*2*PI()*Sheet!$F$37*Sheet!$D$43)/(144*10^8*Sheet!$D$65)</f>
        <v>69.902488823228296</v>
      </c>
      <c r="E63" s="131">
        <f>A63^3*Sheet!$D$75/2*Sheet!$D$7^2/4*PI()*Sheet!$D$76/100</f>
        <v>1249.9469385637315</v>
      </c>
      <c r="F63" s="131">
        <f t="shared" si="0"/>
        <v>1180.0444497405031</v>
      </c>
      <c r="G63" s="131">
        <f>IF(F63=0,0,SQRT((C63^2+2*F63*Sheet!$F$69)/(2*Sheet!$F$69^2)-SQRT((C63^2+2*F63*Sheet!$F$69)^2/(4*Sheet!$F$69^4)-(F63^2/Sheet!$F$69^2))))</f>
        <v>4.0730959530227011</v>
      </c>
      <c r="H63" s="131">
        <f>G63^2*Sheet!$F$69</f>
        <v>15.424123892634073</v>
      </c>
      <c r="I63" s="131">
        <f>G63*Sheet!$D$77</f>
        <v>4.8877151436272408</v>
      </c>
      <c r="J63" s="131">
        <f t="shared" si="1"/>
        <v>1159.7326107042418</v>
      </c>
      <c r="K63" s="131">
        <f t="shared" si="2"/>
        <v>1.2894841024201919E-2</v>
      </c>
      <c r="L63" s="131">
        <f t="shared" si="3"/>
        <v>131.00201257557734</v>
      </c>
    </row>
    <row r="64" spans="1:12" x14ac:dyDescent="0.2">
      <c r="A64" s="131">
        <v>5.9999999999999947</v>
      </c>
      <c r="B64" s="131">
        <f>Sheet!$D$5*A64*60/(Sheet!$D$7*PI())</f>
        <v>133.69015219719196</v>
      </c>
      <c r="C64" s="131">
        <f>MAX((Sheet!$F$37*1.414*(2*Sheet!$D$32*Sheet!$F$25*B64/60*Sheet!$D$30/1000*Sheet!$D$31/1000)*(Sheet!$D$11/Sheet!$D$33))-1.4,0)</f>
        <v>290.79999999999967</v>
      </c>
      <c r="D64" s="131">
        <f>(Sheet!$D$41^4*Sheet!$D$32^2*Sheet!$F$25^2*B64^2*Sheet!$D$13*0.001*Sheet!$D$11*2*PI()*Sheet!$F$37*Sheet!$D$43)/(144*10^8*Sheet!$D$65)</f>
        <v>72.292145867170859</v>
      </c>
      <c r="E64" s="131">
        <f>A64^3*Sheet!$D$75/2*Sheet!$D$7^2/4*PI()*Sheet!$D$76/100</f>
        <v>1314.5868795240312</v>
      </c>
      <c r="F64" s="131">
        <f t="shared" si="0"/>
        <v>1242.2947336568604</v>
      </c>
      <c r="G64" s="131">
        <f>IF(F64=0,0,SQRT((C64^2+2*F64*Sheet!$F$69)/(2*Sheet!$F$69^2)-SQRT((C64^2+2*F64*Sheet!$F$69)^2/(4*Sheet!$F$69^4)-(F64^2/Sheet!$F$69^2))))</f>
        <v>4.2151846890706075</v>
      </c>
      <c r="H64" s="131">
        <f>G64^2*Sheet!$F$69</f>
        <v>16.519026075190062</v>
      </c>
      <c r="I64" s="131">
        <f>G64*Sheet!$D$77</f>
        <v>5.0582216268847286</v>
      </c>
      <c r="J64" s="131">
        <f t="shared" si="1"/>
        <v>1220.7174859547856</v>
      </c>
      <c r="K64" s="131">
        <f t="shared" si="2"/>
        <v>1.2335468318214804E-2</v>
      </c>
      <c r="L64" s="131">
        <f t="shared" si="3"/>
        <v>131.90914761173809</v>
      </c>
    </row>
    <row r="65" spans="1:12" x14ac:dyDescent="0.2">
      <c r="A65" s="131">
        <v>6.0999999999999943</v>
      </c>
      <c r="B65" s="131">
        <f>Sheet!$D$5*A65*60/(Sheet!$D$7*PI())</f>
        <v>135.9183214004785</v>
      </c>
      <c r="C65" s="131">
        <f>MAX((Sheet!$F$37*1.414*(2*Sheet!$D$32*Sheet!$F$25*B65/60*Sheet!$D$30/1000*Sheet!$D$31/1000)*(Sheet!$D$11/Sheet!$D$33))-1.4,0)</f>
        <v>295.66999999999985</v>
      </c>
      <c r="D65" s="131">
        <f>(Sheet!$D$41^4*Sheet!$D$32^2*Sheet!$F$25^2*B65^2*Sheet!$D$13*0.001*Sheet!$D$11*2*PI()*Sheet!$F$37*Sheet!$D$43)/(144*10^8*Sheet!$D$65)</f>
        <v>74.721965214373</v>
      </c>
      <c r="E65" s="131">
        <f>A65^3*Sheet!$D$75/2*Sheet!$D$7^2/4*PI()*Sheet!$D$76/100</f>
        <v>1381.4177986168706</v>
      </c>
      <c r="F65" s="131">
        <f t="shared" si="0"/>
        <v>1306.6958334024976</v>
      </c>
      <c r="G65" s="131">
        <f>IF(F65=0,0,SQRT((C65^2+2*F65*Sheet!$F$69)/(2*Sheet!$F$69^2)-SQRT((C65^2+2*F65*Sheet!$F$69)^2/(4*Sheet!$F$69^4)-(F65^2/Sheet!$F$69^2))))</f>
        <v>4.3596743227345511</v>
      </c>
      <c r="H65" s="131">
        <f>G65^2*Sheet!$F$69</f>
        <v>17.670926399709472</v>
      </c>
      <c r="I65" s="131">
        <f>G65*Sheet!$D$77</f>
        <v>5.2316091872814612</v>
      </c>
      <c r="J65" s="131">
        <f t="shared" si="1"/>
        <v>1283.7932978155065</v>
      </c>
      <c r="K65" s="131">
        <f t="shared" si="2"/>
        <v>1.1776884856848791E-2</v>
      </c>
      <c r="L65" s="131">
        <f t="shared" si="3"/>
        <v>132.44319203169852</v>
      </c>
    </row>
    <row r="66" spans="1:12" x14ac:dyDescent="0.2">
      <c r="A66" s="131">
        <v>6.199999999999994</v>
      </c>
      <c r="B66" s="131">
        <f>Sheet!$D$5*A66*60/(Sheet!$D$7*PI())</f>
        <v>138.14649060376502</v>
      </c>
      <c r="C66" s="131">
        <f>MAX((Sheet!$F$37*1.414*(2*Sheet!$D$32*Sheet!$F$25*B66/60*Sheet!$D$30/1000*Sheet!$D$31/1000)*(Sheet!$D$11/Sheet!$D$33))-1.4,0)</f>
        <v>300.53999999999968</v>
      </c>
      <c r="D66" s="131">
        <f>(Sheet!$D$41^4*Sheet!$D$32^2*Sheet!$F$25^2*B66^2*Sheet!$D$13*0.001*Sheet!$D$11*2*PI()*Sheet!$F$37*Sheet!$D$43)/(144*10^8*Sheet!$D$65)</f>
        <v>77.191946864834662</v>
      </c>
      <c r="E66" s="131">
        <f>A66^3*Sheet!$D$75/2*Sheet!$D$7^2/4*PI()*Sheet!$D$76/100</f>
        <v>1450.4762121444592</v>
      </c>
      <c r="F66" s="131">
        <f t="shared" si="0"/>
        <v>1373.2842652796246</v>
      </c>
      <c r="G66" s="131">
        <f>IF(F66=0,0,SQRT((C66^2+2*F66*Sheet!$F$69)/(2*Sheet!$F$69^2)-SQRT((C66^2+2*F66*Sheet!$F$69)^2/(4*Sheet!$F$69^4)-(F66^2/Sheet!$F$69^2))))</f>
        <v>4.5065632485685843</v>
      </c>
      <c r="H66" s="131">
        <f>G66^2*Sheet!$F$69</f>
        <v>18.881746554931151</v>
      </c>
      <c r="I66" s="131">
        <f>G66*Sheet!$D$77</f>
        <v>5.4078758982823008</v>
      </c>
      <c r="J66" s="131">
        <f t="shared" si="1"/>
        <v>1348.9946428264111</v>
      </c>
      <c r="K66" s="131">
        <f t="shared" si="2"/>
        <v>1.1221249769988926E-2</v>
      </c>
      <c r="L66" s="131">
        <f t="shared" si="3"/>
        <v>132.60367503166174</v>
      </c>
    </row>
    <row r="67" spans="1:12" x14ac:dyDescent="0.2">
      <c r="A67" s="131">
        <v>6.2999999999999936</v>
      </c>
      <c r="B67" s="131">
        <f>Sheet!$D$5*A67*60/(Sheet!$D$7*PI())</f>
        <v>140.37465980705156</v>
      </c>
      <c r="C67" s="131">
        <f>MAX((Sheet!$F$37*1.414*(2*Sheet!$D$32*Sheet!$F$25*B67/60*Sheet!$D$30/1000*Sheet!$D$31/1000)*(Sheet!$D$11/Sheet!$D$33))-1.4,0)</f>
        <v>305.40999999999974</v>
      </c>
      <c r="D67" s="131">
        <f>(Sheet!$D$41^4*Sheet!$D$32^2*Sheet!$F$25^2*B67^2*Sheet!$D$13*0.001*Sheet!$D$11*2*PI()*Sheet!$F$37*Sheet!$D$43)/(144*10^8*Sheet!$D$65)</f>
        <v>79.702090818555902</v>
      </c>
      <c r="E67" s="131">
        <f>A67^3*Sheet!$D$75/2*Sheet!$D$7^2/4*PI()*Sheet!$D$76/100</f>
        <v>1521.7986364090057</v>
      </c>
      <c r="F67" s="131">
        <f t="shared" si="0"/>
        <v>1442.0965455904498</v>
      </c>
      <c r="G67" s="131">
        <f>IF(F67=0,0,SQRT((C67^2+2*F67*Sheet!$F$69)/(2*Sheet!$F$69^2)-SQRT((C67^2+2*F67*Sheet!$F$69)^2/(4*Sheet!$F$69^4)-(F67^2/Sheet!$F$69^2))))</f>
        <v>4.6558498639976005</v>
      </c>
      <c r="H67" s="131">
        <f>G67^2*Sheet!$F$69</f>
        <v>20.153438626894747</v>
      </c>
      <c r="I67" s="131">
        <f>G67*Sheet!$D$77</f>
        <v>5.5870198367971202</v>
      </c>
      <c r="J67" s="131">
        <f t="shared" si="1"/>
        <v>1416.356087126758</v>
      </c>
      <c r="K67" s="131">
        <f t="shared" si="2"/>
        <v>1.0670596591958754E-2</v>
      </c>
      <c r="L67" s="131">
        <f t="shared" si="3"/>
        <v>132.39307246194261</v>
      </c>
    </row>
    <row r="68" spans="1:12" x14ac:dyDescent="0.2">
      <c r="A68" s="131">
        <v>6.3999999999999932</v>
      </c>
      <c r="B68" s="131">
        <f>Sheet!$D$5*A68*60/(Sheet!$D$7*PI())</f>
        <v>142.60282901033807</v>
      </c>
      <c r="C68" s="131">
        <f>MAX((Sheet!$F$37*1.414*(2*Sheet!$D$32*Sheet!$F$25*B68/60*Sheet!$D$30/1000*Sheet!$D$31/1000)*(Sheet!$D$11/Sheet!$D$33))-1.4,0)</f>
        <v>310.27999999999969</v>
      </c>
      <c r="D68" s="131">
        <f>(Sheet!$D$41^4*Sheet!$D$32^2*Sheet!$F$25^2*B68^2*Sheet!$D$13*0.001*Sheet!$D$11*2*PI()*Sheet!$F$37*Sheet!$D$43)/(144*10^8*Sheet!$D$65)</f>
        <v>82.252397075536621</v>
      </c>
      <c r="E68" s="131">
        <f>A68^3*Sheet!$D$75/2*Sheet!$D$7^2/4*PI()*Sheet!$D$76/100</f>
        <v>1595.4215877127199</v>
      </c>
      <c r="F68" s="131">
        <f t="shared" si="0"/>
        <v>1513.1691906371832</v>
      </c>
      <c r="G68" s="131">
        <f>IF(F68=0,0,SQRT((C68^2+2*F68*Sheet!$F$69)/(2*Sheet!$F$69^2)-SQRT((C68^2+2*F68*Sheet!$F$69)^2/(4*Sheet!$F$69^4)-(F68^2/Sheet!$F$69^2))))</f>
        <v>4.8075325693113404</v>
      </c>
      <c r="H68" s="131">
        <f>G68^2*Sheet!$F$69</f>
        <v>21.48798503133537</v>
      </c>
      <c r="I68" s="131">
        <f>G68*Sheet!$D$77</f>
        <v>5.7690390831736087</v>
      </c>
      <c r="J68" s="131">
        <f t="shared" si="1"/>
        <v>1485.9121665226744</v>
      </c>
      <c r="K68" s="131">
        <f t="shared" si="2"/>
        <v>1.0126824897439327E-2</v>
      </c>
      <c r="L68" s="131">
        <f t="shared" si="3"/>
        <v>131.81673355254452</v>
      </c>
    </row>
    <row r="69" spans="1:12" x14ac:dyDescent="0.2">
      <c r="A69" s="131">
        <v>6.4999999999999929</v>
      </c>
      <c r="B69" s="131">
        <f>Sheet!$D$5*A69*60/(Sheet!$D$7*PI())</f>
        <v>144.83099821362458</v>
      </c>
      <c r="C69" s="131">
        <f>MAX((Sheet!$F$37*1.414*(2*Sheet!$D$32*Sheet!$F$25*B69/60*Sheet!$D$30/1000*Sheet!$D$31/1000)*(Sheet!$D$11/Sheet!$D$33))-1.4,0)</f>
        <v>315.14999999999969</v>
      </c>
      <c r="D69" s="131">
        <f>(Sheet!$D$41^4*Sheet!$D$32^2*Sheet!$F$25^2*B69^2*Sheet!$D$13*0.001*Sheet!$D$11*2*PI()*Sheet!$F$37*Sheet!$D$43)/(144*10^8*Sheet!$D$65)</f>
        <v>84.842865635776874</v>
      </c>
      <c r="E69" s="131">
        <f>A69^3*Sheet!$D$75/2*Sheet!$D$7^2/4*PI()*Sheet!$D$76/100</f>
        <v>1671.3815823578088</v>
      </c>
      <c r="F69" s="131">
        <f t="shared" ref="F69:F124" si="4">MAX(E69-D69,0)</f>
        <v>1586.5387167220319</v>
      </c>
      <c r="G69" s="131">
        <f>IF(F69=0,0,SQRT((C69^2+2*F69*Sheet!$F$69)/(2*Sheet!$F$69^2)-SQRT((C69^2+2*F69*Sheet!$F$69)^2/(4*Sheet!$F$69^4)-(F69^2/Sheet!$F$69^2))))</f>
        <v>4.9616097676518729</v>
      </c>
      <c r="H69" s="131">
        <f>G69^2*Sheet!$F$69</f>
        <v>22.887398446247403</v>
      </c>
      <c r="I69" s="131">
        <f>G69*Sheet!$D$77</f>
        <v>5.9539317211822471</v>
      </c>
      <c r="J69" s="131">
        <f t="shared" ref="J69:J124" si="5">F69-H69-I69</f>
        <v>1557.6973865546022</v>
      </c>
      <c r="K69" s="131">
        <f t="shared" ref="K69:K124" si="6">$L$2/$K$2*(A69/$K$2)^($L$2-1)*EXP(-((A69/$K$2)^($L$2)))/10</f>
        <v>9.591693515792591E-3</v>
      </c>
      <c r="L69" s="131">
        <f t="shared" ref="L69:L124" si="7">J69*K69*365*24/1000</f>
        <v>130.8827738783217</v>
      </c>
    </row>
    <row r="70" spans="1:12" x14ac:dyDescent="0.2">
      <c r="A70" s="131">
        <v>6.5999999999999925</v>
      </c>
      <c r="B70" s="131">
        <f>Sheet!$D$5*A70*60/(Sheet!$D$7*PI())</f>
        <v>147.05916741691112</v>
      </c>
      <c r="C70" s="131">
        <f>MAX((Sheet!$F$37*1.414*(2*Sheet!$D$32*Sheet!$F$25*B70/60*Sheet!$D$30/1000*Sheet!$D$31/1000)*(Sheet!$D$11/Sheet!$D$33))-1.4,0)</f>
        <v>320.0199999999997</v>
      </c>
      <c r="D70" s="131">
        <f>(Sheet!$D$41^4*Sheet!$D$32^2*Sheet!$F$25^2*B70^2*Sheet!$D$13*0.001*Sheet!$D$11*2*PI()*Sheet!$F$37*Sheet!$D$43)/(144*10^8*Sheet!$D$65)</f>
        <v>87.473496499276706</v>
      </c>
      <c r="E70" s="131">
        <f>A70^3*Sheet!$D$75/2*Sheet!$D$7^2/4*PI()*Sheet!$D$76/100</f>
        <v>1749.7151366464841</v>
      </c>
      <c r="F70" s="131">
        <f t="shared" si="4"/>
        <v>1662.2416401472074</v>
      </c>
      <c r="G70" s="131">
        <f>IF(F70=0,0,SQRT((C70^2+2*F70*Sheet!$F$69)/(2*Sheet!$F$69^2)-SQRT((C70^2+2*F70*Sheet!$F$69)^2/(4*Sheet!$F$69^4)-(F70^2/Sheet!$F$69^2))))</f>
        <v>5.1180798650152299</v>
      </c>
      <c r="H70" s="131">
        <f>G70^2*Sheet!$F$69</f>
        <v>24.353721744800126</v>
      </c>
      <c r="I70" s="131">
        <f>G70*Sheet!$D$77</f>
        <v>6.1416958380182756</v>
      </c>
      <c r="J70" s="131">
        <f t="shared" si="5"/>
        <v>1631.746222564389</v>
      </c>
      <c r="K70" s="131">
        <f t="shared" si="6"/>
        <v>9.0668153207299623E-3</v>
      </c>
      <c r="L70" s="131">
        <f t="shared" si="7"/>
        <v>129.60193685654079</v>
      </c>
    </row>
    <row r="71" spans="1:12" x14ac:dyDescent="0.2">
      <c r="A71" s="131">
        <v>6.6999999999999922</v>
      </c>
      <c r="B71" s="131">
        <f>Sheet!$D$5*A71*60/(Sheet!$D$7*PI())</f>
        <v>149.28733662019766</v>
      </c>
      <c r="C71" s="131">
        <f>MAX((Sheet!$F$37*1.414*(2*Sheet!$D$32*Sheet!$F$25*B71/60*Sheet!$D$30/1000*Sheet!$D$31/1000)*(Sheet!$D$11/Sheet!$D$33))-1.4,0)</f>
        <v>324.8899999999997</v>
      </c>
      <c r="D71" s="131">
        <f>(Sheet!$D$41^4*Sheet!$D$32^2*Sheet!$F$25^2*B71^2*Sheet!$D$13*0.001*Sheet!$D$11*2*PI()*Sheet!$F$37*Sheet!$D$43)/(144*10^8*Sheet!$D$65)</f>
        <v>90.144289666036101</v>
      </c>
      <c r="E71" s="131">
        <f>A71^3*Sheet!$D$75/2*Sheet!$D$7^2/4*PI()*Sheet!$D$76/100</f>
        <v>1830.4587668809527</v>
      </c>
      <c r="F71" s="131">
        <f t="shared" si="4"/>
        <v>1740.3144772149167</v>
      </c>
      <c r="G71" s="131">
        <f>IF(F71=0,0,SQRT((C71^2+2*F71*Sheet!$F$69)/(2*Sheet!$F$69^2)-SQRT((C71^2+2*F71*Sheet!$F$69)^2/(4*Sheet!$F$69^4)-(F71^2/Sheet!$F$69^2))))</f>
        <v>5.2769412702347021</v>
      </c>
      <c r="H71" s="131">
        <f>G71^2*Sheet!$F$69</f>
        <v>25.889027928314107</v>
      </c>
      <c r="I71" s="131">
        <f>G71*Sheet!$D$77</f>
        <v>6.3323295242816426</v>
      </c>
      <c r="J71" s="131">
        <f t="shared" si="5"/>
        <v>1708.0931197623208</v>
      </c>
      <c r="K71" s="131">
        <f t="shared" si="6"/>
        <v>8.5536535734574114E-3</v>
      </c>
      <c r="L71" s="131">
        <f t="shared" si="7"/>
        <v>127.98742652264022</v>
      </c>
    </row>
    <row r="72" spans="1:12" x14ac:dyDescent="0.2">
      <c r="A72" s="131">
        <v>6.7999999999999918</v>
      </c>
      <c r="B72" s="131">
        <f>Sheet!$D$5*A72*60/(Sheet!$D$7*PI())</f>
        <v>151.5155058234842</v>
      </c>
      <c r="C72" s="131">
        <f>MAX((Sheet!$F$37*1.414*(2*Sheet!$D$32*Sheet!$F$25*B72/60*Sheet!$D$30/1000*Sheet!$D$31/1000)*(Sheet!$D$11/Sheet!$D$33))-1.4,0)</f>
        <v>329.75999999999965</v>
      </c>
      <c r="D72" s="131">
        <f>(Sheet!$D$41^4*Sheet!$D$32^2*Sheet!$F$25^2*B72^2*Sheet!$D$13*0.001*Sheet!$D$11*2*PI()*Sheet!$F$37*Sheet!$D$43)/(144*10^8*Sheet!$D$65)</f>
        <v>92.855245136055004</v>
      </c>
      <c r="E72" s="131">
        <f>A72^3*Sheet!$D$75/2*Sheet!$D$7^2/4*PI()*Sheet!$D$76/100</f>
        <v>1913.6489893634246</v>
      </c>
      <c r="F72" s="131">
        <f t="shared" si="4"/>
        <v>1820.7937442273696</v>
      </c>
      <c r="G72" s="131">
        <f>IF(F72=0,0,SQRT((C72^2+2*F72*Sheet!$F$69)/(2*Sheet!$F$69^2)-SQRT((C72^2+2*F72*Sheet!$F$69)^2/(4*Sheet!$F$69^4)-(F72^2/Sheet!$F$69^2))))</f>
        <v>5.4381923949777358</v>
      </c>
      <c r="H72" s="131">
        <f>G72^2*Sheet!$F$69</f>
        <v>27.495420059582731</v>
      </c>
      <c r="I72" s="131">
        <f>G72*Sheet!$D$77</f>
        <v>6.5258308739732831</v>
      </c>
      <c r="J72" s="131">
        <f t="shared" si="5"/>
        <v>1786.7724932938136</v>
      </c>
      <c r="K72" s="131">
        <f t="shared" si="6"/>
        <v>8.0535197797247104E-3</v>
      </c>
      <c r="L72" s="131">
        <f t="shared" si="7"/>
        <v>126.05471472150154</v>
      </c>
    </row>
    <row r="73" spans="1:12" x14ac:dyDescent="0.2">
      <c r="A73" s="131">
        <v>6.8999999999999915</v>
      </c>
      <c r="B73" s="131">
        <f>Sheet!$D$5*A73*60/(Sheet!$D$7*PI())</f>
        <v>153.74367502677072</v>
      </c>
      <c r="C73" s="131">
        <f>MAX((Sheet!$F$37*1.414*(2*Sheet!$D$32*Sheet!$F$25*B73/60*Sheet!$D$30/1000*Sheet!$D$31/1000)*(Sheet!$D$11/Sheet!$D$33))-1.4,0)</f>
        <v>334.62999999999971</v>
      </c>
      <c r="D73" s="131">
        <f>(Sheet!$D$41^4*Sheet!$D$32^2*Sheet!$F$25^2*B73^2*Sheet!$D$13*0.001*Sheet!$D$11*2*PI()*Sheet!$F$37*Sheet!$D$43)/(144*10^8*Sheet!$D$65)</f>
        <v>95.606362909333413</v>
      </c>
      <c r="E73" s="131">
        <f>A73^3*Sheet!$D$75/2*Sheet!$D$7^2/4*PI()*Sheet!$D$76/100</f>
        <v>1999.322320396109</v>
      </c>
      <c r="F73" s="131">
        <f t="shared" si="4"/>
        <v>1903.7159574867756</v>
      </c>
      <c r="G73" s="131">
        <f>IF(F73=0,0,SQRT((C73^2+2*F73*Sheet!$F$69)/(2*Sheet!$F$69^2)-SQRT((C73^2+2*F73*Sheet!$F$69)^2/(4*Sheet!$F$69^4)-(F73^2/Sheet!$F$69^2))))</f>
        <v>5.6018316537382153</v>
      </c>
      <c r="H73" s="131">
        <f>G73^2*Sheet!$F$69</f>
        <v>29.17503119637621</v>
      </c>
      <c r="I73" s="131">
        <f>G73*Sheet!$D$77</f>
        <v>6.7221979844858586</v>
      </c>
      <c r="J73" s="131">
        <f t="shared" si="5"/>
        <v>1867.8187283059135</v>
      </c>
      <c r="K73" s="131">
        <f t="shared" si="6"/>
        <v>7.5675730048388222E-3</v>
      </c>
      <c r="L73" s="131">
        <f t="shared" si="7"/>
        <v>123.82132617563944</v>
      </c>
    </row>
    <row r="74" spans="1:12" x14ac:dyDescent="0.2">
      <c r="A74" s="131">
        <v>6.9999999999999911</v>
      </c>
      <c r="B74" s="131">
        <f>Sheet!$D$5*A74*60/(Sheet!$D$7*PI())</f>
        <v>155.97184423005723</v>
      </c>
      <c r="C74" s="131">
        <f>MAX((Sheet!$F$37*1.414*(2*Sheet!$D$32*Sheet!$F$25*B74/60*Sheet!$D$30/1000*Sheet!$D$31/1000)*(Sheet!$D$11/Sheet!$D$33))-1.4,0)</f>
        <v>339.4999999999996</v>
      </c>
      <c r="D74" s="131">
        <f>(Sheet!$D$41^4*Sheet!$D$32^2*Sheet!$F$25^2*B74^2*Sheet!$D$13*0.001*Sheet!$D$11*2*PI()*Sheet!$F$37*Sheet!$D$43)/(144*10^8*Sheet!$D$65)</f>
        <v>98.397642985871386</v>
      </c>
      <c r="E74" s="131">
        <f>A74^3*Sheet!$D$75/2*Sheet!$D$7^2/4*PI()*Sheet!$D$76/100</f>
        <v>2087.5152762812136</v>
      </c>
      <c r="F74" s="131">
        <f t="shared" si="4"/>
        <v>1989.1176332953421</v>
      </c>
      <c r="G74" s="131">
        <f>IF(F74=0,0,SQRT((C74^2+2*F74*Sheet!$F$69)/(2*Sheet!$F$69^2)-SQRT((C74^2+2*F74*Sheet!$F$69)^2/(4*Sheet!$F$69^4)-(F74^2/Sheet!$F$69^2))))</f>
        <v>5.7678574638301887</v>
      </c>
      <c r="H74" s="131">
        <f>G74^2*Sheet!$F$69</f>
        <v>30.930024325182501</v>
      </c>
      <c r="I74" s="131">
        <f>G74*Sheet!$D$77</f>
        <v>6.9214289565962259</v>
      </c>
      <c r="J74" s="131">
        <f t="shared" si="5"/>
        <v>1951.2661800135634</v>
      </c>
      <c r="K74" s="131">
        <f t="shared" si="6"/>
        <v>7.0968205758651049E-3</v>
      </c>
      <c r="L74" s="131">
        <f t="shared" si="7"/>
        <v>121.30660514371525</v>
      </c>
    </row>
    <row r="75" spans="1:12" x14ac:dyDescent="0.2">
      <c r="A75" s="131">
        <v>7.0999999999999908</v>
      </c>
      <c r="B75" s="131">
        <f>Sheet!$D$5*A75*60/(Sheet!$D$7*PI())</f>
        <v>158.20001343334374</v>
      </c>
      <c r="C75" s="131">
        <f>MAX((Sheet!$F$37*1.414*(2*Sheet!$D$32*Sheet!$F$25*B75/60*Sheet!$D$30/1000*Sheet!$D$31/1000)*(Sheet!$D$11/Sheet!$D$33))-1.4,0)</f>
        <v>344.36999999999955</v>
      </c>
      <c r="D75" s="131">
        <f>(Sheet!$D$41^4*Sheet!$D$32^2*Sheet!$F$25^2*B75^2*Sheet!$D$13*0.001*Sheet!$D$11*2*PI()*Sheet!$F$37*Sheet!$D$43)/(144*10^8*Sheet!$D$65)</f>
        <v>101.22908536566889</v>
      </c>
      <c r="E75" s="131">
        <f>A75^3*Sheet!$D$75/2*Sheet!$D$7^2/4*PI()*Sheet!$D$76/100</f>
        <v>2178.2643733209484</v>
      </c>
      <c r="F75" s="131">
        <f t="shared" si="4"/>
        <v>2077.0352879552793</v>
      </c>
      <c r="G75" s="131">
        <f>IF(F75=0,0,SQRT((C75^2+2*F75*Sheet!$F$69)/(2*Sheet!$F$69^2)-SQRT((C75^2+2*F75*Sheet!$F$69)^2/(4*Sheet!$F$69^4)-(F75^2/Sheet!$F$69^2))))</f>
        <v>5.9362682453754614</v>
      </c>
      <c r="H75" s="131">
        <f>G75^2*Sheet!$F$69</f>
        <v>32.762592295103744</v>
      </c>
      <c r="I75" s="131">
        <f>G75*Sheet!$D$77</f>
        <v>7.1235218944505538</v>
      </c>
      <c r="J75" s="131">
        <f t="shared" si="5"/>
        <v>2037.149173765725</v>
      </c>
      <c r="K75" s="131">
        <f t="shared" si="6"/>
        <v>6.6421200870976109E-3</v>
      </c>
      <c r="L75" s="131">
        <f t="shared" si="7"/>
        <v>118.53146755995654</v>
      </c>
    </row>
    <row r="76" spans="1:12" x14ac:dyDescent="0.2">
      <c r="A76" s="131">
        <v>7.1999999999999904</v>
      </c>
      <c r="B76" s="131">
        <f>Sheet!$D$5*A76*60/(Sheet!$D$7*PI())</f>
        <v>160.42818263663028</v>
      </c>
      <c r="C76" s="131">
        <f>MAX((Sheet!$F$37*1.414*(2*Sheet!$D$32*Sheet!$F$25*B76/60*Sheet!$D$30/1000*Sheet!$D$31/1000)*(Sheet!$D$11/Sheet!$D$33))-1.4,0)</f>
        <v>349.23999999999961</v>
      </c>
      <c r="D76" s="131">
        <f>(Sheet!$D$41^4*Sheet!$D$32^2*Sheet!$F$25^2*B76^2*Sheet!$D$13*0.001*Sheet!$D$11*2*PI()*Sheet!$F$37*Sheet!$D$43)/(144*10^8*Sheet!$D$65)</f>
        <v>104.10069004872594</v>
      </c>
      <c r="E76" s="131">
        <f>A76^3*Sheet!$D$75/2*Sheet!$D$7^2/4*PI()*Sheet!$D$76/100</f>
        <v>2271.6061278175225</v>
      </c>
      <c r="F76" s="131">
        <f t="shared" si="4"/>
        <v>2167.5054377687966</v>
      </c>
      <c r="G76" s="131">
        <f>IF(F76=0,0,SQRT((C76^2+2*F76*Sheet!$F$69)/(2*Sheet!$F$69^2)-SQRT((C76^2+2*F76*Sheet!$F$69)^2/(4*Sheet!$F$69^4)-(F76^2/Sheet!$F$69^2))))</f>
        <v>6.1070624213054163</v>
      </c>
      <c r="H76" s="131">
        <f>G76^2*Sheet!$F$69</f>
        <v>34.674957752124698</v>
      </c>
      <c r="I76" s="131">
        <f>G76*Sheet!$D$77</f>
        <v>7.3284749055664991</v>
      </c>
      <c r="J76" s="131">
        <f t="shared" si="5"/>
        <v>2125.5020051111055</v>
      </c>
      <c r="K76" s="131">
        <f t="shared" si="6"/>
        <v>6.2041826135562474E-3</v>
      </c>
      <c r="L76" s="131">
        <f t="shared" si="7"/>
        <v>115.51814264625794</v>
      </c>
    </row>
    <row r="77" spans="1:12" x14ac:dyDescent="0.2">
      <c r="A77" s="131">
        <v>7.2999999999999901</v>
      </c>
      <c r="B77" s="131">
        <f>Sheet!$D$5*A77*60/(Sheet!$D$7*PI())</f>
        <v>162.65635183991682</v>
      </c>
      <c r="C77" s="131">
        <f>MAX((Sheet!$F$37*1.414*(2*Sheet!$D$32*Sheet!$F$25*B77/60*Sheet!$D$30/1000*Sheet!$D$31/1000)*(Sheet!$D$11/Sheet!$D$33))-1.4,0)</f>
        <v>354.10999999999956</v>
      </c>
      <c r="D77" s="131">
        <f>(Sheet!$D$41^4*Sheet!$D$32^2*Sheet!$F$25^2*B77^2*Sheet!$D$13*0.001*Sheet!$D$11*2*PI()*Sheet!$F$37*Sheet!$D$43)/(144*10^8*Sheet!$D$65)</f>
        <v>107.01245703504257</v>
      </c>
      <c r="E77" s="131">
        <f>A77^3*Sheet!$D$75/2*Sheet!$D$7^2/4*PI()*Sheet!$D$76/100</f>
        <v>2367.5770560731448</v>
      </c>
      <c r="F77" s="131">
        <f t="shared" si="4"/>
        <v>2260.5645990381022</v>
      </c>
      <c r="G77" s="131">
        <f>IF(F77=0,0,SQRT((C77^2+2*F77*Sheet!$F$69)/(2*Sheet!$F$69^2)-SQRT((C77^2+2*F77*Sheet!$F$69)^2/(4*Sheet!$F$69^4)-(F77^2/Sheet!$F$69^2))))</f>
        <v>6.2802384173402519</v>
      </c>
      <c r="H77" s="131">
        <f>G77^2*Sheet!$F$69</f>
        <v>36.66937307335423</v>
      </c>
      <c r="I77" s="131">
        <f>G77*Sheet!$D$77</f>
        <v>7.5362861008083017</v>
      </c>
      <c r="J77" s="131">
        <f t="shared" si="5"/>
        <v>2216.3589398639397</v>
      </c>
      <c r="K77" s="131">
        <f t="shared" si="6"/>
        <v>5.7835770278514675E-3</v>
      </c>
      <c r="L77" s="131">
        <f t="shared" si="7"/>
        <v>112.28990801461595</v>
      </c>
    </row>
    <row r="78" spans="1:12" x14ac:dyDescent="0.2">
      <c r="A78" s="131">
        <v>7.3999999999999897</v>
      </c>
      <c r="B78" s="131">
        <f>Sheet!$D$5*A78*60/(Sheet!$D$7*PI())</f>
        <v>164.88452104320334</v>
      </c>
      <c r="C78" s="131">
        <f>MAX((Sheet!$F$37*1.414*(2*Sheet!$D$32*Sheet!$F$25*B78/60*Sheet!$D$30/1000*Sheet!$D$31/1000)*(Sheet!$D$11/Sheet!$D$33))-1.4,0)</f>
        <v>358.97999999999951</v>
      </c>
      <c r="D78" s="131">
        <f>(Sheet!$D$41^4*Sheet!$D$32^2*Sheet!$F$25^2*B78^2*Sheet!$D$13*0.001*Sheet!$D$11*2*PI()*Sheet!$F$37*Sheet!$D$43)/(144*10^8*Sheet!$D$65)</f>
        <v>109.96438632461867</v>
      </c>
      <c r="E78" s="131">
        <f>A78^3*Sheet!$D$75/2*Sheet!$D$7^2/4*PI()*Sheet!$D$76/100</f>
        <v>2466.2136743900242</v>
      </c>
      <c r="F78" s="131">
        <f t="shared" si="4"/>
        <v>2356.2492880654054</v>
      </c>
      <c r="G78" s="131">
        <f>IF(F78=0,0,SQRT((C78^2+2*F78*Sheet!$F$69)/(2*Sheet!$F$69^2)-SQRT((C78^2+2*F78*Sheet!$F$69)^2/(4*Sheet!$F$69^4)-(F78^2/Sheet!$F$69^2))))</f>
        <v>6.455794661996725</v>
      </c>
      <c r="H78" s="131">
        <f>G78^2*Sheet!$F$69</f>
        <v>38.74812030180118</v>
      </c>
      <c r="I78" s="131">
        <f>G78*Sheet!$D$77</f>
        <v>7.7469535943960697</v>
      </c>
      <c r="J78" s="131">
        <f t="shared" si="5"/>
        <v>2309.7542141692084</v>
      </c>
      <c r="K78" s="131">
        <f t="shared" si="6"/>
        <v>5.3807353082979768E-3</v>
      </c>
      <c r="L78" s="131">
        <f t="shared" si="7"/>
        <v>108.87082223015189</v>
      </c>
    </row>
    <row r="79" spans="1:12" x14ac:dyDescent="0.2">
      <c r="A79" s="131">
        <v>7.4999999999999893</v>
      </c>
      <c r="B79" s="131">
        <f>Sheet!$D$5*A79*60/(Sheet!$D$7*PI())</f>
        <v>167.1126902464899</v>
      </c>
      <c r="C79" s="131">
        <f>MAX((Sheet!$F$37*1.414*(2*Sheet!$D$32*Sheet!$F$25*B79/60*Sheet!$D$30/1000*Sheet!$D$31/1000)*(Sheet!$D$11/Sheet!$D$33))-1.4,0)</f>
        <v>363.84999999999968</v>
      </c>
      <c r="D79" s="131">
        <f>(Sheet!$D$41^4*Sheet!$D$32^2*Sheet!$F$25^2*B79^2*Sheet!$D$13*0.001*Sheet!$D$11*2*PI()*Sheet!$F$37*Sheet!$D$43)/(144*10^8*Sheet!$D$65)</f>
        <v>112.95647791745441</v>
      </c>
      <c r="E79" s="131">
        <f>A79^3*Sheet!$D$75/2*Sheet!$D$7^2/4*PI()*Sheet!$D$76/100</f>
        <v>2567.5524990703693</v>
      </c>
      <c r="F79" s="131">
        <f t="shared" si="4"/>
        <v>2454.596021152915</v>
      </c>
      <c r="G79" s="131">
        <f>IF(F79=0,0,SQRT((C79^2+2*F79*Sheet!$F$69)/(2*Sheet!$F$69^2)-SQRT((C79^2+2*F79*Sheet!$F$69)^2/(4*Sheet!$F$69^4)-(F79^2/Sheet!$F$69^2))))</f>
        <v>6.6337295865649235</v>
      </c>
      <c r="H79" s="131">
        <f>G79^2*Sheet!$F$69</f>
        <v>40.913511081014811</v>
      </c>
      <c r="I79" s="131">
        <f>G79*Sheet!$D$77</f>
        <v>7.960475503877908</v>
      </c>
      <c r="J79" s="131">
        <f t="shared" si="5"/>
        <v>2405.7220345680221</v>
      </c>
      <c r="K79" s="131">
        <f t="shared" si="6"/>
        <v>4.9959587206708433E-3</v>
      </c>
      <c r="L79" s="131">
        <f t="shared" si="7"/>
        <v>105.2854586882446</v>
      </c>
    </row>
    <row r="80" spans="1:12" x14ac:dyDescent="0.2">
      <c r="A80" s="131">
        <v>7.599999999999989</v>
      </c>
      <c r="B80" s="131">
        <f>Sheet!$D$5*A80*60/(Sheet!$D$7*PI())</f>
        <v>169.34085944977639</v>
      </c>
      <c r="C80" s="131">
        <f>MAX((Sheet!$F$37*1.414*(2*Sheet!$D$32*Sheet!$F$25*B80/60*Sheet!$D$30/1000*Sheet!$D$31/1000)*(Sheet!$D$11/Sheet!$D$33))-1.4,0)</f>
        <v>368.71999999999946</v>
      </c>
      <c r="D80" s="131">
        <f>(Sheet!$D$41^4*Sheet!$D$32^2*Sheet!$F$25^2*B80^2*Sheet!$D$13*0.001*Sheet!$D$11*2*PI()*Sheet!$F$37*Sheet!$D$43)/(144*10^8*Sheet!$D$65)</f>
        <v>115.98873181354958</v>
      </c>
      <c r="E80" s="131">
        <f>A80^3*Sheet!$D$75/2*Sheet!$D$7^2/4*PI()*Sheet!$D$76/100</f>
        <v>2671.6300464163896</v>
      </c>
      <c r="F80" s="131">
        <f t="shared" si="4"/>
        <v>2555.6413146028399</v>
      </c>
      <c r="G80" s="131">
        <f>IF(F80=0,0,SQRT((C80^2+2*F80*Sheet!$F$69)/(2*Sheet!$F$69^2)-SQRT((C80^2+2*F80*Sheet!$F$69)^2/(4*Sheet!$F$69^4)-(F80^2/Sheet!$F$69^2))))</f>
        <v>6.8140416251153093</v>
      </c>
      <c r="H80" s="131">
        <f>G80^2*Sheet!$F$69</f>
        <v>43.167886590293648</v>
      </c>
      <c r="I80" s="131">
        <f>G80*Sheet!$D$77</f>
        <v>8.1768499501383705</v>
      </c>
      <c r="J80" s="131">
        <f t="shared" si="5"/>
        <v>2504.2965780624081</v>
      </c>
      <c r="K80" s="131">
        <f t="shared" si="6"/>
        <v>4.6294247524601316E-3</v>
      </c>
      <c r="L80" s="131">
        <f t="shared" si="7"/>
        <v>101.55864447801386</v>
      </c>
    </row>
    <row r="81" spans="1:12" x14ac:dyDescent="0.2">
      <c r="A81" s="131">
        <v>7.6999999999999886</v>
      </c>
      <c r="B81" s="131">
        <f>Sheet!$D$5*A81*60/(Sheet!$D$7*PI())</f>
        <v>171.56902865306293</v>
      </c>
      <c r="C81" s="131">
        <f>MAX((Sheet!$F$37*1.414*(2*Sheet!$D$32*Sheet!$F$25*B81/60*Sheet!$D$30/1000*Sheet!$D$31/1000)*(Sheet!$D$11/Sheet!$D$33))-1.4,0)</f>
        <v>373.58999999999946</v>
      </c>
      <c r="D81" s="131">
        <f>(Sheet!$D$41^4*Sheet!$D$32^2*Sheet!$F$25^2*B81^2*Sheet!$D$13*0.001*Sheet!$D$11*2*PI()*Sheet!$F$37*Sheet!$D$43)/(144*10^8*Sheet!$D$65)</f>
        <v>119.06114801290433</v>
      </c>
      <c r="E81" s="131">
        <f>A81^3*Sheet!$D$75/2*Sheet!$D$7^2/4*PI()*Sheet!$D$76/100</f>
        <v>2778.4828327302939</v>
      </c>
      <c r="F81" s="131">
        <f t="shared" si="4"/>
        <v>2659.4216847173898</v>
      </c>
      <c r="G81" s="131">
        <f>IF(F81=0,0,SQRT((C81^2+2*F81*Sheet!$F$69)/(2*Sheet!$F$69^2)-SQRT((C81^2+2*F81*Sheet!$F$69)^2/(4*Sheet!$F$69^4)-(F81^2/Sheet!$F$69^2))))</f>
        <v>6.9967292144807622</v>
      </c>
      <c r="H81" s="131">
        <f>G81^2*Sheet!$F$69</f>
        <v>45.513617479813099</v>
      </c>
      <c r="I81" s="131">
        <f>G81*Sheet!$D$77</f>
        <v>8.3960750573769136</v>
      </c>
      <c r="J81" s="131">
        <f t="shared" si="5"/>
        <v>2605.5119921801997</v>
      </c>
      <c r="K81" s="131">
        <f t="shared" si="6"/>
        <v>4.281194676839589E-3</v>
      </c>
      <c r="L81" s="131">
        <f t="shared" si="7"/>
        <v>97.715207665145002</v>
      </c>
    </row>
    <row r="82" spans="1:12" x14ac:dyDescent="0.2">
      <c r="A82" s="131">
        <v>7.7999999999999883</v>
      </c>
      <c r="B82" s="131">
        <f>Sheet!$D$5*A82*60/(Sheet!$D$7*PI())</f>
        <v>173.79719785634944</v>
      </c>
      <c r="C82" s="131">
        <f>MAX((Sheet!$F$37*1.414*(2*Sheet!$D$32*Sheet!$F$25*B82/60*Sheet!$D$30/1000*Sheet!$D$31/1000)*(Sheet!$D$11/Sheet!$D$33))-1.4,0)</f>
        <v>378.45999999999941</v>
      </c>
      <c r="D82" s="131">
        <f>(Sheet!$D$41^4*Sheet!$D$32^2*Sheet!$F$25^2*B82^2*Sheet!$D$13*0.001*Sheet!$D$11*2*PI()*Sheet!$F$37*Sheet!$D$43)/(144*10^8*Sheet!$D$65)</f>
        <v>122.1737265155186</v>
      </c>
      <c r="E82" s="131">
        <f>A82^3*Sheet!$D$75/2*Sheet!$D$7^2/4*PI()*Sheet!$D$76/100</f>
        <v>2888.147374314291</v>
      </c>
      <c r="F82" s="131">
        <f t="shared" si="4"/>
        <v>2765.9736477987726</v>
      </c>
      <c r="G82" s="131">
        <f>IF(F82=0,0,SQRT((C82^2+2*F82*Sheet!$F$69)/(2*Sheet!$F$69^2)-SQRT((C82^2+2*F82*Sheet!$F$69)^2/(4*Sheet!$F$69^4)-(F82^2/Sheet!$F$69^2))))</f>
        <v>7.1817907942525556</v>
      </c>
      <c r="H82" s="131">
        <f>G82^2*Sheet!$F$69</f>
        <v>47.9531038061318</v>
      </c>
      <c r="I82" s="131">
        <f>G82*Sheet!$D$77</f>
        <v>8.6181489531030664</v>
      </c>
      <c r="J82" s="131">
        <f t="shared" si="5"/>
        <v>2709.4023950395376</v>
      </c>
      <c r="K82" s="131">
        <f t="shared" si="6"/>
        <v>3.9512216237370824E-3</v>
      </c>
      <c r="L82" s="131">
        <f t="shared" si="7"/>
        <v>93.779736136802896</v>
      </c>
    </row>
    <row r="83" spans="1:12" x14ac:dyDescent="0.2">
      <c r="A83" s="131">
        <v>7.8999999999999879</v>
      </c>
      <c r="B83" s="131">
        <f>Sheet!$D$5*A83*60/(Sheet!$D$7*PI())</f>
        <v>176.02536705963595</v>
      </c>
      <c r="C83" s="131">
        <f>MAX((Sheet!$F$37*1.414*(2*Sheet!$D$32*Sheet!$F$25*B83/60*Sheet!$D$30/1000*Sheet!$D$31/1000)*(Sheet!$D$11/Sheet!$D$33))-1.4,0)</f>
        <v>383.32999999999936</v>
      </c>
      <c r="D83" s="131">
        <f>(Sheet!$D$41^4*Sheet!$D$32^2*Sheet!$F$25^2*B83^2*Sheet!$D$13*0.001*Sheet!$D$11*2*PI()*Sheet!$F$37*Sheet!$D$43)/(144*10^8*Sheet!$D$65)</f>
        <v>125.32646732139239</v>
      </c>
      <c r="E83" s="131">
        <f>A83^3*Sheet!$D$75/2*Sheet!$D$7^2/4*PI()*Sheet!$D$76/100</f>
        <v>3000.6601874705902</v>
      </c>
      <c r="F83" s="131">
        <f t="shared" si="4"/>
        <v>2875.3337201491977</v>
      </c>
      <c r="G83" s="131">
        <f>IF(F83=0,0,SQRT((C83^2+2*F83*Sheet!$F$69)/(2*Sheet!$F$69^2)-SQRT((C83^2+2*F83*Sheet!$F$69)^2/(4*Sheet!$F$69^4)-(F83^2/Sheet!$F$69^2))))</f>
        <v>7.3692248067750841</v>
      </c>
      <c r="H83" s="131">
        <f>G83^2*Sheet!$F$69</f>
        <v>50.48877496790098</v>
      </c>
      <c r="I83" s="131">
        <f>G83*Sheet!$D$77</f>
        <v>8.8430697681300998</v>
      </c>
      <c r="J83" s="131">
        <f t="shared" si="5"/>
        <v>2816.0018754131665</v>
      </c>
      <c r="K83" s="131">
        <f t="shared" si="6"/>
        <v>3.639359037268689E-3</v>
      </c>
      <c r="L83" s="131">
        <f t="shared" si="7"/>
        <v>89.776350818434253</v>
      </c>
    </row>
    <row r="84" spans="1:12" x14ac:dyDescent="0.2">
      <c r="A84" s="131">
        <v>7.9999999999999876</v>
      </c>
      <c r="B84" s="131">
        <f>Sheet!$D$5*A84*60/(Sheet!$D$7*PI())</f>
        <v>178.25353626292252</v>
      </c>
      <c r="C84" s="131">
        <f>MAX((Sheet!$F$37*1.414*(2*Sheet!$D$32*Sheet!$F$25*B84/60*Sheet!$D$30/1000*Sheet!$D$31/1000)*(Sheet!$D$11/Sheet!$D$33))-1.4,0)</f>
        <v>388.19999999999953</v>
      </c>
      <c r="D84" s="131">
        <f>(Sheet!$D$41^4*Sheet!$D$32^2*Sheet!$F$25^2*B84^2*Sheet!$D$13*0.001*Sheet!$D$11*2*PI()*Sheet!$F$37*Sheet!$D$43)/(144*10^8*Sheet!$D$65)</f>
        <v>128.51937043052584</v>
      </c>
      <c r="E84" s="131">
        <f>A84^3*Sheet!$D$75/2*Sheet!$D$7^2/4*PI()*Sheet!$D$76/100</f>
        <v>3116.0577885014</v>
      </c>
      <c r="F84" s="131">
        <f t="shared" si="4"/>
        <v>2987.5384180708743</v>
      </c>
      <c r="G84" s="131">
        <f>IF(F84=0,0,SQRT((C84^2+2*F84*Sheet!$F$69)/(2*Sheet!$F$69^2)-SQRT((C84^2+2*F84*Sheet!$F$69)^2/(4*Sheet!$F$69^4)-(F84^2/Sheet!$F$69^2))))</f>
        <v>7.5590296971386621</v>
      </c>
      <c r="H84" s="131">
        <f>G84^2*Sheet!$F$69</f>
        <v>53.123089641763293</v>
      </c>
      <c r="I84" s="131">
        <f>G84*Sheet!$D$77</f>
        <v>9.0708356365663949</v>
      </c>
      <c r="J84" s="131">
        <f t="shared" si="5"/>
        <v>2925.3444927925448</v>
      </c>
      <c r="K84" s="131">
        <f t="shared" si="6"/>
        <v>3.3453694022401088E-3</v>
      </c>
      <c r="L84" s="131">
        <f t="shared" si="7"/>
        <v>85.728495705070159</v>
      </c>
    </row>
    <row r="85" spans="1:12" x14ac:dyDescent="0.2">
      <c r="A85" s="131">
        <v>8.0999999999999872</v>
      </c>
      <c r="B85" s="131">
        <f>Sheet!$D$5*A85*60/(Sheet!$D$7*PI())</f>
        <v>180.48170546620904</v>
      </c>
      <c r="C85" s="131">
        <f>MAX((Sheet!$F$37*1.414*(2*Sheet!$D$32*Sheet!$F$25*B85/60*Sheet!$D$30/1000*Sheet!$D$31/1000)*(Sheet!$D$11/Sheet!$D$33))-1.4,0)</f>
        <v>393.06999999999937</v>
      </c>
      <c r="D85" s="131">
        <f>(Sheet!$D$41^4*Sheet!$D$32^2*Sheet!$F$25^2*B85^2*Sheet!$D$13*0.001*Sheet!$D$11*2*PI()*Sheet!$F$37*Sheet!$D$43)/(144*10^8*Sheet!$D$65)</f>
        <v>131.75243584291874</v>
      </c>
      <c r="E85" s="131">
        <f>A85^3*Sheet!$D$75/2*Sheet!$D$7^2/4*PI()*Sheet!$D$76/100</f>
        <v>3234.3766937089304</v>
      </c>
      <c r="F85" s="131">
        <f t="shared" si="4"/>
        <v>3102.6242578660117</v>
      </c>
      <c r="G85" s="131">
        <f>IF(F85=0,0,SQRT((C85^2+2*F85*Sheet!$F$69)/(2*Sheet!$F$69^2)-SQRT((C85^2+2*F85*Sheet!$F$69)^2/(4*Sheet!$F$69^4)-(F85^2/Sheet!$F$69^2))))</f>
        <v>7.7512039131651242</v>
      </c>
      <c r="H85" s="131">
        <f>G85^2*Sheet!$F$69</f>
        <v>55.85853571835969</v>
      </c>
      <c r="I85" s="131">
        <f>G85*Sheet!$D$77</f>
        <v>9.301444695798148</v>
      </c>
      <c r="J85" s="131">
        <f t="shared" si="5"/>
        <v>3037.4642774518538</v>
      </c>
      <c r="K85" s="131">
        <f t="shared" si="6"/>
        <v>3.0689331272755398E-3</v>
      </c>
      <c r="L85" s="131">
        <f t="shared" si="7"/>
        <v>81.658746757335365</v>
      </c>
    </row>
    <row r="86" spans="1:12" x14ac:dyDescent="0.2">
      <c r="A86" s="131">
        <v>8.1999999999999869</v>
      </c>
      <c r="B86" s="131">
        <f>Sheet!$D$5*A86*60/(Sheet!$D$7*PI())</f>
        <v>182.70987466949558</v>
      </c>
      <c r="C86" s="131">
        <f>MAX((Sheet!$F$37*1.414*(2*Sheet!$D$32*Sheet!$F$25*B86/60*Sheet!$D$30/1000*Sheet!$D$31/1000)*(Sheet!$D$11/Sheet!$D$33))-1.4,0)</f>
        <v>397.93999999999937</v>
      </c>
      <c r="D86" s="131">
        <f>(Sheet!$D$41^4*Sheet!$D$32^2*Sheet!$F$25^2*B86^2*Sheet!$D$13*0.001*Sheet!$D$11*2*PI()*Sheet!$F$37*Sheet!$D$43)/(144*10^8*Sheet!$D$65)</f>
        <v>135.02566355857121</v>
      </c>
      <c r="E86" s="131">
        <f>A86^3*Sheet!$D$75/2*Sheet!$D$7^2/4*PI()*Sheet!$D$76/100</f>
        <v>3355.6534193953908</v>
      </c>
      <c r="F86" s="131">
        <f t="shared" si="4"/>
        <v>3220.6277558368197</v>
      </c>
      <c r="G86" s="131">
        <f>IF(F86=0,0,SQRT((C86^2+2*F86*Sheet!$F$69)/(2*Sheet!$F$69^2)-SQRT((C86^2+2*F86*Sheet!$F$69)^2/(4*Sheet!$F$69^4)-(F86^2/Sheet!$F$69^2))))</f>
        <v>7.9457459054077004</v>
      </c>
      <c r="H86" s="131">
        <f>G86^2*Sheet!$F$69</f>
        <v>58.697630238742406</v>
      </c>
      <c r="I86" s="131">
        <f>G86*Sheet!$D$77</f>
        <v>9.5348950864892394</v>
      </c>
      <c r="J86" s="131">
        <f t="shared" si="5"/>
        <v>3152.3952305115881</v>
      </c>
      <c r="K86" s="131">
        <f t="shared" si="6"/>
        <v>2.8096574782358178E-3</v>
      </c>
      <c r="L86" s="131">
        <f t="shared" si="7"/>
        <v>77.588641303753434</v>
      </c>
    </row>
    <row r="87" spans="1:12" x14ac:dyDescent="0.2">
      <c r="A87" s="131">
        <v>8.2999999999999865</v>
      </c>
      <c r="B87" s="131">
        <f>Sheet!$D$5*A87*60/(Sheet!$D$7*PI())</f>
        <v>184.93804387278209</v>
      </c>
      <c r="C87" s="131">
        <f>MAX((Sheet!$F$37*1.414*(2*Sheet!$D$32*Sheet!$F$25*B87/60*Sheet!$D$30/1000*Sheet!$D$31/1000)*(Sheet!$D$11/Sheet!$D$33))-1.4,0)</f>
        <v>402.80999999999938</v>
      </c>
      <c r="D87" s="131">
        <f>(Sheet!$D$41^4*Sheet!$D$32^2*Sheet!$F$25^2*B87^2*Sheet!$D$13*0.001*Sheet!$D$11*2*PI()*Sheet!$F$37*Sheet!$D$43)/(144*10^8*Sheet!$D$65)</f>
        <v>138.33905357748316</v>
      </c>
      <c r="E87" s="131">
        <f>A87^3*Sheet!$D$75/2*Sheet!$D$7^2/4*PI()*Sheet!$D$76/100</f>
        <v>3479.9244818629882</v>
      </c>
      <c r="F87" s="131">
        <f t="shared" si="4"/>
        <v>3341.5854282855048</v>
      </c>
      <c r="G87" s="131">
        <f>IF(F87=0,0,SQRT((C87^2+2*F87*Sheet!$F$69)/(2*Sheet!$F$69^2)-SQRT((C87^2+2*F87*Sheet!$F$69)^2/(4*Sheet!$F$69^4)-(F87^2/Sheet!$F$69^2))))</f>
        <v>8.1426541271431656</v>
      </c>
      <c r="H87" s="131">
        <f>G87^2*Sheet!$F$69</f>
        <v>61.642919330895964</v>
      </c>
      <c r="I87" s="131">
        <f>G87*Sheet!$D$77</f>
        <v>9.7711849525717991</v>
      </c>
      <c r="J87" s="131">
        <f t="shared" si="5"/>
        <v>3270.1713240020372</v>
      </c>
      <c r="K87" s="131">
        <f t="shared" si="6"/>
        <v>2.5670854627552957E-3</v>
      </c>
      <c r="L87" s="131">
        <f t="shared" si="7"/>
        <v>73.538529175108252</v>
      </c>
    </row>
    <row r="88" spans="1:12" x14ac:dyDescent="0.2">
      <c r="A88" s="131">
        <v>8.3999999999999861</v>
      </c>
      <c r="B88" s="131">
        <f>Sheet!$D$5*A88*60/(Sheet!$D$7*PI())</f>
        <v>187.1662130760686</v>
      </c>
      <c r="C88" s="131">
        <f>MAX((Sheet!$F$37*1.414*(2*Sheet!$D$32*Sheet!$F$25*B88/60*Sheet!$D$30/1000*Sheet!$D$31/1000)*(Sheet!$D$11/Sheet!$D$33))-1.4,0)</f>
        <v>407.67999999999938</v>
      </c>
      <c r="D88" s="131">
        <f>(Sheet!$D$41^4*Sheet!$D$32^2*Sheet!$F$25^2*B88^2*Sheet!$D$13*0.001*Sheet!$D$11*2*PI()*Sheet!$F$37*Sheet!$D$43)/(144*10^8*Sheet!$D$65)</f>
        <v>141.69260589965464</v>
      </c>
      <c r="E88" s="131">
        <f>A88^3*Sheet!$D$75/2*Sheet!$D$7^2/4*PI()*Sheet!$D$76/100</f>
        <v>3607.2263974139323</v>
      </c>
      <c r="F88" s="131">
        <f t="shared" si="4"/>
        <v>3465.5337915142777</v>
      </c>
      <c r="G88" s="131">
        <f>IF(F88=0,0,SQRT((C88^2+2*F88*Sheet!$F$69)/(2*Sheet!$F$69^2)-SQRT((C88^2+2*F88*Sheet!$F$69)^2/(4*Sheet!$F$69^4)-(F88^2/Sheet!$F$69^2))))</f>
        <v>8.341927034359351</v>
      </c>
      <c r="H88" s="131">
        <f>G88^2*Sheet!$F$69</f>
        <v>64.696978146393661</v>
      </c>
      <c r="I88" s="131">
        <f>G88*Sheet!$D$77</f>
        <v>10.010312441231221</v>
      </c>
      <c r="J88" s="131">
        <f t="shared" si="5"/>
        <v>3390.8265009266529</v>
      </c>
      <c r="K88" s="131">
        <f t="shared" si="6"/>
        <v>2.3407045747740117E-3</v>
      </c>
      <c r="L88" s="131">
        <f t="shared" si="7"/>
        <v>69.527446382139573</v>
      </c>
    </row>
    <row r="89" spans="1:12" x14ac:dyDescent="0.2">
      <c r="A89" s="131">
        <v>8.4999999999999858</v>
      </c>
      <c r="B89" s="131">
        <f>Sheet!$D$5*A89*60/(Sheet!$D$7*PI())</f>
        <v>189.39438227935514</v>
      </c>
      <c r="C89" s="131">
        <f>MAX((Sheet!$F$37*1.414*(2*Sheet!$D$32*Sheet!$F$25*B89/60*Sheet!$D$30/1000*Sheet!$D$31/1000)*(Sheet!$D$11/Sheet!$D$33))-1.4,0)</f>
        <v>412.54999999999939</v>
      </c>
      <c r="D89" s="131">
        <f>(Sheet!$D$41^4*Sheet!$D$32^2*Sheet!$F$25^2*B89^2*Sheet!$D$13*0.001*Sheet!$D$11*2*PI()*Sheet!$F$37*Sheet!$D$43)/(144*10^8*Sheet!$D$65)</f>
        <v>145.08632052508577</v>
      </c>
      <c r="E89" s="131">
        <f>A89^3*Sheet!$D$75/2*Sheet!$D$7^2/4*PI()*Sheet!$D$76/100</f>
        <v>3737.595682350433</v>
      </c>
      <c r="F89" s="131">
        <f t="shared" si="4"/>
        <v>3592.5093618253472</v>
      </c>
      <c r="G89" s="131">
        <f>IF(F89=0,0,SQRT((C89^2+2*F89*Sheet!$F$69)/(2*Sheet!$F$69^2)-SQRT((C89^2+2*F89*Sheet!$F$69)^2/(4*Sheet!$F$69^4)-(F89^2/Sheet!$F$69^2))))</f>
        <v>8.543563085754144</v>
      </c>
      <c r="H89" s="131">
        <f>G89^2*Sheet!$F$69</f>
        <v>67.862410797432688</v>
      </c>
      <c r="I89" s="131">
        <f>G89*Sheet!$D$77</f>
        <v>10.252275702904972</v>
      </c>
      <c r="J89" s="131">
        <f t="shared" si="5"/>
        <v>3514.3946753250093</v>
      </c>
      <c r="K89" s="131">
        <f t="shared" si="6"/>
        <v>2.1299553166779736E-3</v>
      </c>
      <c r="L89" s="131">
        <f t="shared" si="7"/>
        <v>65.573011742852188</v>
      </c>
    </row>
    <row r="90" spans="1:12" x14ac:dyDescent="0.2">
      <c r="A90" s="131">
        <v>8.5999999999999854</v>
      </c>
      <c r="B90" s="131">
        <f>Sheet!$D$5*A90*60/(Sheet!$D$7*PI())</f>
        <v>191.62255148264165</v>
      </c>
      <c r="C90" s="131">
        <f>MAX((Sheet!$F$37*1.414*(2*Sheet!$D$32*Sheet!$F$25*B90/60*Sheet!$D$30/1000*Sheet!$D$31/1000)*(Sheet!$D$11/Sheet!$D$33))-1.4,0)</f>
        <v>417.41999999999933</v>
      </c>
      <c r="D90" s="131">
        <f>(Sheet!$D$41^4*Sheet!$D$32^2*Sheet!$F$25^2*B90^2*Sheet!$D$13*0.001*Sheet!$D$11*2*PI()*Sheet!$F$37*Sheet!$D$43)/(144*10^8*Sheet!$D$65)</f>
        <v>148.52019745377638</v>
      </c>
      <c r="E90" s="131">
        <f>A90^3*Sheet!$D$75/2*Sheet!$D$7^2/4*PI()*Sheet!$D$76/100</f>
        <v>3871.0688529746999</v>
      </c>
      <c r="F90" s="131">
        <f t="shared" si="4"/>
        <v>3722.5486555209236</v>
      </c>
      <c r="G90" s="131">
        <f>IF(F90=0,0,SQRT((C90^2+2*F90*Sheet!$F$69)/(2*Sheet!$F$69^2)-SQRT((C90^2+2*F90*Sheet!$F$69)^2/(4*Sheet!$F$69^4)-(F90^2/Sheet!$F$69^2))))</f>
        <v>8.7475607427217579</v>
      </c>
      <c r="H90" s="131">
        <f>G90^2*Sheet!$F$69</f>
        <v>71.141850293882911</v>
      </c>
      <c r="I90" s="131">
        <f>G90*Sheet!$D$77</f>
        <v>10.497072891266109</v>
      </c>
      <c r="J90" s="131">
        <f t="shared" si="5"/>
        <v>3640.9097323357746</v>
      </c>
      <c r="K90" s="131">
        <f t="shared" si="6"/>
        <v>1.9342394258986787E-3</v>
      </c>
      <c r="L90" s="131">
        <f t="shared" si="7"/>
        <v>61.691346477697252</v>
      </c>
    </row>
    <row r="91" spans="1:12" x14ac:dyDescent="0.2">
      <c r="A91" s="131">
        <v>8.6999999999999851</v>
      </c>
      <c r="B91" s="131">
        <f>Sheet!$D$5*A91*60/(Sheet!$D$7*PI())</f>
        <v>193.8507206859282</v>
      </c>
      <c r="C91" s="131">
        <f>MAX((Sheet!$F$37*1.414*(2*Sheet!$D$32*Sheet!$F$25*B91/60*Sheet!$D$30/1000*Sheet!$D$31/1000)*(Sheet!$D$11/Sheet!$D$33))-1.4,0)</f>
        <v>422.2899999999994</v>
      </c>
      <c r="D91" s="131">
        <f>(Sheet!$D$41^4*Sheet!$D$32^2*Sheet!$F$25^2*B91^2*Sheet!$D$13*0.001*Sheet!$D$11*2*PI()*Sheet!$F$37*Sheet!$D$43)/(144*10^8*Sheet!$D$65)</f>
        <v>151.99423668572646</v>
      </c>
      <c r="E91" s="131">
        <f>A91^3*Sheet!$D$75/2*Sheet!$D$7^2/4*PI()*Sheet!$D$76/100</f>
        <v>4007.6824255889392</v>
      </c>
      <c r="F91" s="131">
        <f t="shared" si="4"/>
        <v>3855.6881889032129</v>
      </c>
      <c r="G91" s="131">
        <f>IF(F91=0,0,SQRT((C91^2+2*F91*Sheet!$F$69)/(2*Sheet!$F$69^2)-SQRT((C91^2+2*F91*Sheet!$F$69)^2/(4*Sheet!$F$69^4)-(F91^2/Sheet!$F$69^2))))</f>
        <v>8.953918469351084</v>
      </c>
      <c r="H91" s="131">
        <f>G91^2*Sheet!$F$69</f>
        <v>74.537958480727966</v>
      </c>
      <c r="I91" s="131">
        <f>G91*Sheet!$D$77</f>
        <v>10.7447021632213</v>
      </c>
      <c r="J91" s="131">
        <f t="shared" si="5"/>
        <v>3770.4055282592635</v>
      </c>
      <c r="K91" s="131">
        <f t="shared" si="6"/>
        <v>1.7529277423782483E-3</v>
      </c>
      <c r="L91" s="131">
        <f t="shared" si="7"/>
        <v>57.897016426397329</v>
      </c>
    </row>
    <row r="92" spans="1:12" x14ac:dyDescent="0.2">
      <c r="A92" s="131">
        <v>8.7999999999999847</v>
      </c>
      <c r="B92" s="131">
        <f>Sheet!$D$5*A92*60/(Sheet!$D$7*PI())</f>
        <v>196.07888988921474</v>
      </c>
      <c r="C92" s="131">
        <f>MAX((Sheet!$F$37*1.414*(2*Sheet!$D$32*Sheet!$F$25*B92/60*Sheet!$D$30/1000*Sheet!$D$31/1000)*(Sheet!$D$11/Sheet!$D$33))-1.4,0)</f>
        <v>427.15999999999934</v>
      </c>
      <c r="D92" s="131">
        <f>(Sheet!$D$41^4*Sheet!$D$32^2*Sheet!$F$25^2*B92^2*Sheet!$D$13*0.001*Sheet!$D$11*2*PI()*Sheet!$F$37*Sheet!$D$43)/(144*10^8*Sheet!$D$65)</f>
        <v>155.5084382209362</v>
      </c>
      <c r="E92" s="131">
        <f>A92^3*Sheet!$D$75/2*Sheet!$D$7^2/4*PI()*Sheet!$D$76/100</f>
        <v>4147.4729164953633</v>
      </c>
      <c r="F92" s="131">
        <f t="shared" si="4"/>
        <v>3991.9644782744272</v>
      </c>
      <c r="G92" s="131">
        <f>IF(F92=0,0,SQRT((C92^2+2*F92*Sheet!$F$69)/(2*Sheet!$F$69^2)-SQRT((C92^2+2*F92*Sheet!$F$69)^2/(4*Sheet!$F$69^4)-(F92^2/Sheet!$F$69^2))))</f>
        <v>9.1626347324160289</v>
      </c>
      <c r="H92" s="131">
        <f>G92^2*Sheet!$F$69</f>
        <v>78.053425975587558</v>
      </c>
      <c r="I92" s="131">
        <f>G92*Sheet!$D$77</f>
        <v>10.995161678899235</v>
      </c>
      <c r="J92" s="131">
        <f t="shared" si="5"/>
        <v>3902.91589061994</v>
      </c>
      <c r="K92" s="131">
        <f t="shared" si="6"/>
        <v>1.5853676630038442E-3</v>
      </c>
      <c r="L92" s="131">
        <f t="shared" si="7"/>
        <v>54.202996205055264</v>
      </c>
    </row>
    <row r="93" spans="1:12" x14ac:dyDescent="0.2">
      <c r="A93" s="131">
        <v>8.8999999999999844</v>
      </c>
      <c r="B93" s="131">
        <f>Sheet!$D$5*A93*60/(Sheet!$D$7*PI())</f>
        <v>198.30705909250125</v>
      </c>
      <c r="C93" s="131">
        <f>MAX((Sheet!$F$37*1.414*(2*Sheet!$D$32*Sheet!$F$25*B93/60*Sheet!$D$30/1000*Sheet!$D$31/1000)*(Sheet!$D$11/Sheet!$D$33))-1.4,0)</f>
        <v>432.02999999999923</v>
      </c>
      <c r="D93" s="131">
        <f>(Sheet!$D$41^4*Sheet!$D$32^2*Sheet!$F$25^2*B93^2*Sheet!$D$13*0.001*Sheet!$D$11*2*PI()*Sheet!$F$37*Sheet!$D$43)/(144*10^8*Sheet!$D$65)</f>
        <v>159.06280205940541</v>
      </c>
      <c r="E93" s="131">
        <f>A93^3*Sheet!$D$75/2*Sheet!$D$7^2/4*PI()*Sheet!$D$76/100</f>
        <v>4290.4768419961774</v>
      </c>
      <c r="F93" s="131">
        <f t="shared" si="4"/>
        <v>4131.4140399367716</v>
      </c>
      <c r="G93" s="131">
        <f>IF(F93=0,0,SQRT((C93^2+2*F93*Sheet!$F$69)/(2*Sheet!$F$69^2)-SQRT((C93^2+2*F93*Sheet!$F$69)^2/(4*Sheet!$F$69^4)-(F93^2/Sheet!$F$69^2))))</f>
        <v>9.3737080013661132</v>
      </c>
      <c r="H93" s="131">
        <f>G93^2*Sheet!$F$69</f>
        <v>81.690972106442544</v>
      </c>
      <c r="I93" s="131">
        <f>G93*Sheet!$D$77</f>
        <v>11.248449601639335</v>
      </c>
      <c r="J93" s="131">
        <f t="shared" si="5"/>
        <v>4038.4746182286895</v>
      </c>
      <c r="K93" s="131">
        <f t="shared" si="6"/>
        <v>1.4308901387886258E-3</v>
      </c>
      <c r="L93" s="131">
        <f t="shared" si="7"/>
        <v>50.620654321071143</v>
      </c>
    </row>
    <row r="94" spans="1:12" x14ac:dyDescent="0.2">
      <c r="A94" s="131">
        <v>8.999999999999984</v>
      </c>
      <c r="B94" s="131">
        <f>Sheet!$D$5*A94*60/(Sheet!$D$7*PI())</f>
        <v>200.53522829578776</v>
      </c>
      <c r="C94" s="131">
        <f>MAX((Sheet!$F$37*1.414*(2*Sheet!$D$32*Sheet!$F$25*B94/60*Sheet!$D$30/1000*Sheet!$D$31/1000)*(Sheet!$D$11/Sheet!$D$33))-1.4,0)</f>
        <v>436.89999999999918</v>
      </c>
      <c r="D94" s="131">
        <f>(Sheet!$D$41^4*Sheet!$D$32^2*Sheet!$F$25^2*B94^2*Sheet!$D$13*0.001*Sheet!$D$11*2*PI()*Sheet!$F$37*Sheet!$D$43)/(144*10^8*Sheet!$D$65)</f>
        <v>162.65732820113416</v>
      </c>
      <c r="E94" s="131">
        <f>A94^3*Sheet!$D$75/2*Sheet!$D$7^2/4*PI()*Sheet!$D$76/100</f>
        <v>4436.7307183935936</v>
      </c>
      <c r="F94" s="131">
        <f t="shared" si="4"/>
        <v>4274.0733901924596</v>
      </c>
      <c r="G94" s="131">
        <f>IF(F94=0,0,SQRT((C94^2+2*F94*Sheet!$F$69)/(2*Sheet!$F$69^2)-SQRT((C94^2+2*F94*Sheet!$F$69)^2/(4*Sheet!$F$69^4)-(F94^2/Sheet!$F$69^2))))</f>
        <v>9.5871367483234238</v>
      </c>
      <c r="H94" s="131">
        <f>G94^2*Sheet!$F$69</f>
        <v>85.453344849671367</v>
      </c>
      <c r="I94" s="131">
        <f>G94*Sheet!$D$77</f>
        <v>11.504564097988109</v>
      </c>
      <c r="J94" s="131">
        <f t="shared" si="5"/>
        <v>4177.1154812448003</v>
      </c>
      <c r="K94" s="131">
        <f t="shared" si="6"/>
        <v>1.2888161800745821E-3</v>
      </c>
      <c r="L94" s="131">
        <f t="shared" si="7"/>
        <v>47.159758000030507</v>
      </c>
    </row>
    <row r="95" spans="1:12" x14ac:dyDescent="0.2">
      <c r="A95" s="131">
        <v>9.0999999999999837</v>
      </c>
      <c r="B95" s="131">
        <f>Sheet!$D$5*A95*60/(Sheet!$D$7*PI())</f>
        <v>202.7633974990743</v>
      </c>
      <c r="C95" s="131">
        <f>MAX((Sheet!$F$37*1.414*(2*Sheet!$D$32*Sheet!$F$25*B95/60*Sheet!$D$30/1000*Sheet!$D$31/1000)*(Sheet!$D$11/Sheet!$D$33))-1.4,0)</f>
        <v>441.76999999999924</v>
      </c>
      <c r="D95" s="131">
        <f>(Sheet!$D$41^4*Sheet!$D$32^2*Sheet!$F$25^2*B95^2*Sheet!$D$13*0.001*Sheet!$D$11*2*PI()*Sheet!$F$37*Sheet!$D$43)/(144*10^8*Sheet!$D$65)</f>
        <v>166.29201664612248</v>
      </c>
      <c r="E95" s="131">
        <f>A95^3*Sheet!$D$75/2*Sheet!$D$7^2/4*PI()*Sheet!$D$76/100</f>
        <v>4586.2710619898189</v>
      </c>
      <c r="F95" s="131">
        <f t="shared" si="4"/>
        <v>4419.9790453436963</v>
      </c>
      <c r="G95" s="131">
        <f>IF(F95=0,0,SQRT((C95^2+2*F95*Sheet!$F$69)/(2*Sheet!$F$69^2)-SQRT((C95^2+2*F95*Sheet!$F$69)^2/(4*Sheet!$F$69^4)-(F95^2/Sheet!$F$69^2))))</f>
        <v>9.8029194480738742</v>
      </c>
      <c r="H95" s="131">
        <f>G95^2*Sheet!$F$69</f>
        <v>89.343320768194729</v>
      </c>
      <c r="I95" s="131">
        <f>G95*Sheet!$D$77</f>
        <v>11.763503337688649</v>
      </c>
      <c r="J95" s="131">
        <f t="shared" si="5"/>
        <v>4318.8722212378134</v>
      </c>
      <c r="K95" s="131">
        <f t="shared" si="6"/>
        <v>1.1584628442181011E-3</v>
      </c>
      <c r="L95" s="131">
        <f t="shared" si="7"/>
        <v>43.828496255732219</v>
      </c>
    </row>
    <row r="96" spans="1:12" x14ac:dyDescent="0.2">
      <c r="A96" s="131">
        <v>9.1999999999999833</v>
      </c>
      <c r="B96" s="131">
        <f>Sheet!$D$5*A96*60/(Sheet!$D$7*PI())</f>
        <v>204.99156670236081</v>
      </c>
      <c r="C96" s="131">
        <f>MAX((Sheet!$F$37*1.414*(2*Sheet!$D$32*Sheet!$F$25*B96/60*Sheet!$D$30/1000*Sheet!$D$31/1000)*(Sheet!$D$11/Sheet!$D$33))-1.4,0)</f>
        <v>446.63999999999908</v>
      </c>
      <c r="D96" s="131">
        <f>(Sheet!$D$41^4*Sheet!$D$32^2*Sheet!$F$25^2*B96^2*Sheet!$D$13*0.001*Sheet!$D$11*2*PI()*Sheet!$F$37*Sheet!$D$43)/(144*10^8*Sheet!$D$65)</f>
        <v>169.9668673943703</v>
      </c>
      <c r="E96" s="131">
        <f>A96^3*Sheet!$D$75/2*Sheet!$D$7^2/4*PI()*Sheet!$D$76/100</f>
        <v>4739.134389087063</v>
      </c>
      <c r="F96" s="131">
        <f t="shared" si="4"/>
        <v>4569.1675216926924</v>
      </c>
      <c r="G96" s="131">
        <f>IF(F96=0,0,SQRT((C96^2+2*F96*Sheet!$F$69)/(2*Sheet!$F$69^2)-SQRT((C96^2+2*F96*Sheet!$F$69)^2/(4*Sheet!$F$69^4)-(F96^2/Sheet!$F$69^2))))</f>
        <v>10.021054578055841</v>
      </c>
      <c r="H96" s="131">
        <f>G96^2*Sheet!$F$69</f>
        <v>93.363704949768874</v>
      </c>
      <c r="I96" s="131">
        <f>G96*Sheet!$D$77</f>
        <v>12.025265493667009</v>
      </c>
      <c r="J96" s="131">
        <f t="shared" si="5"/>
        <v>4463.7785512492565</v>
      </c>
      <c r="K96" s="131">
        <f t="shared" si="6"/>
        <v>1.0391486889718496E-3</v>
      </c>
      <c r="L96" s="131">
        <f t="shared" si="7"/>
        <v>40.633519553468027</v>
      </c>
    </row>
    <row r="97" spans="1:12" x14ac:dyDescent="0.2">
      <c r="A97" s="131">
        <v>9.2999999999999829</v>
      </c>
      <c r="B97" s="131">
        <f>Sheet!$D$5*A97*60/(Sheet!$D$7*PI())</f>
        <v>207.21973590564735</v>
      </c>
      <c r="C97" s="131">
        <f>MAX((Sheet!$F$37*1.414*(2*Sheet!$D$32*Sheet!$F$25*B97/60*Sheet!$D$30/1000*Sheet!$D$31/1000)*(Sheet!$D$11/Sheet!$D$33))-1.4,0)</f>
        <v>451.50999999999914</v>
      </c>
      <c r="D97" s="131">
        <f>(Sheet!$D$41^4*Sheet!$D$32^2*Sheet!$F$25^2*B97^2*Sheet!$D$13*0.001*Sheet!$D$11*2*PI()*Sheet!$F$37*Sheet!$D$43)/(144*10^8*Sheet!$D$65)</f>
        <v>173.68188044587768</v>
      </c>
      <c r="E97" s="131">
        <f>A97^3*Sheet!$D$75/2*Sheet!$D$7^2/4*PI()*Sheet!$D$76/100</f>
        <v>4895.3572159875375</v>
      </c>
      <c r="F97" s="131">
        <f t="shared" si="4"/>
        <v>4721.6753355416595</v>
      </c>
      <c r="G97" s="131">
        <f>IF(F97=0,0,SQRT((C97^2+2*F97*Sheet!$F$69)/(2*Sheet!$F$69^2)-SQRT((C97^2+2*F97*Sheet!$F$69)^2/(4*Sheet!$F$69^4)-(F97^2/Sheet!$F$69^2))))</f>
        <v>10.241540618360132</v>
      </c>
      <c r="H97" s="131">
        <f>G97^2*Sheet!$F$69</f>
        <v>97.517330945684989</v>
      </c>
      <c r="I97" s="131">
        <f>G97*Sheet!$D$77</f>
        <v>12.289848742032158</v>
      </c>
      <c r="J97" s="131">
        <f t="shared" si="5"/>
        <v>4611.868155853942</v>
      </c>
      <c r="K97" s="131">
        <f t="shared" si="6"/>
        <v>9.3019868299364702E-4</v>
      </c>
      <c r="L97" s="131">
        <f t="shared" si="7"/>
        <v>37.579994278109325</v>
      </c>
    </row>
    <row r="98" spans="1:12" x14ac:dyDescent="0.2">
      <c r="A98" s="131">
        <v>9.3999999999999826</v>
      </c>
      <c r="B98" s="131">
        <f>Sheet!$D$5*A98*60/(Sheet!$D$7*PI())</f>
        <v>209.4479051089339</v>
      </c>
      <c r="C98" s="131">
        <f>MAX((Sheet!$F$37*1.414*(2*Sheet!$D$32*Sheet!$F$25*B98/60*Sheet!$D$30/1000*Sheet!$D$31/1000)*(Sheet!$D$11/Sheet!$D$33))-1.4,0)</f>
        <v>456.3799999999992</v>
      </c>
      <c r="D98" s="131">
        <f>(Sheet!$D$41^4*Sheet!$D$32^2*Sheet!$F$25^2*B98^2*Sheet!$D$13*0.001*Sheet!$D$11*2*PI()*Sheet!$F$37*Sheet!$D$43)/(144*10^8*Sheet!$D$65)</f>
        <v>177.43705580064463</v>
      </c>
      <c r="E98" s="131">
        <f>A98^3*Sheet!$D$75/2*Sheet!$D$7^2/4*PI()*Sheet!$D$76/100</f>
        <v>5054.9760589934476</v>
      </c>
      <c r="F98" s="131">
        <f t="shared" si="4"/>
        <v>4877.5390031928027</v>
      </c>
      <c r="G98" s="131">
        <f>IF(F98=0,0,SQRT((C98^2+2*F98*Sheet!$F$69)/(2*Sheet!$F$69^2)-SQRT((C98^2+2*F98*Sheet!$F$69)^2/(4*Sheet!$F$69^4)-(F98^2/Sheet!$F$69^2))))</f>
        <v>10.464376051718107</v>
      </c>
      <c r="H98" s="131">
        <f>G98^2*Sheet!$F$69</f>
        <v>101.80706070945494</v>
      </c>
      <c r="I98" s="131">
        <f>G98*Sheet!$D$77</f>
        <v>12.557251262061728</v>
      </c>
      <c r="J98" s="131">
        <f t="shared" si="5"/>
        <v>4763.1746912212857</v>
      </c>
      <c r="K98" s="131">
        <f t="shared" si="6"/>
        <v>8.3094857251005561E-4</v>
      </c>
      <c r="L98" s="131">
        <f t="shared" si="7"/>
        <v>34.671670122108445</v>
      </c>
    </row>
    <row r="99" spans="1:12" x14ac:dyDescent="0.2">
      <c r="A99" s="131">
        <v>9.4999999999999822</v>
      </c>
      <c r="B99" s="131">
        <f>Sheet!$D$5*A99*60/(Sheet!$D$7*PI())</f>
        <v>211.67607431222041</v>
      </c>
      <c r="C99" s="131">
        <f>MAX((Sheet!$F$37*1.414*(2*Sheet!$D$32*Sheet!$F$25*B99/60*Sheet!$D$30/1000*Sheet!$D$31/1000)*(Sheet!$D$11/Sheet!$D$33))-1.4,0)</f>
        <v>461.2499999999992</v>
      </c>
      <c r="D99" s="131">
        <f>(Sheet!$D$41^4*Sheet!$D$32^2*Sheet!$F$25^2*B99^2*Sheet!$D$13*0.001*Sheet!$D$11*2*PI()*Sheet!$F$37*Sheet!$D$43)/(144*10^8*Sheet!$D$65)</f>
        <v>181.23239345867108</v>
      </c>
      <c r="E99" s="131">
        <f>A99^3*Sheet!$D$75/2*Sheet!$D$7^2/4*PI()*Sheet!$D$76/100</f>
        <v>5218.0274344070031</v>
      </c>
      <c r="F99" s="131">
        <f t="shared" si="4"/>
        <v>5036.7950409483319</v>
      </c>
      <c r="G99" s="131">
        <f>IF(F99=0,0,SQRT((C99^2+2*F99*Sheet!$F$69)/(2*Sheet!$F$69^2)-SQRT((C99^2+2*F99*Sheet!$F$69)^2/(4*Sheet!$F$69^4)-(F99^2/Sheet!$F$69^2))))</f>
        <v>10.68955936349605</v>
      </c>
      <c r="H99" s="131">
        <f>G99^2*Sheet!$F$69</f>
        <v>106.23578453580826</v>
      </c>
      <c r="I99" s="131">
        <f>G99*Sheet!$D$77</f>
        <v>12.82747123619526</v>
      </c>
      <c r="J99" s="131">
        <f t="shared" si="5"/>
        <v>4917.7317851763282</v>
      </c>
      <c r="K99" s="131">
        <f t="shared" si="6"/>
        <v>7.4074871007303146E-4</v>
      </c>
      <c r="L99" s="131">
        <f t="shared" si="7"/>
        <v>31.910958452865522</v>
      </c>
    </row>
    <row r="100" spans="1:12" x14ac:dyDescent="0.2">
      <c r="A100" s="131">
        <v>9.5999999999999819</v>
      </c>
      <c r="B100" s="131">
        <f>Sheet!$D$5*A100*60/(Sheet!$D$7*PI())</f>
        <v>213.90424351550695</v>
      </c>
      <c r="C100" s="131">
        <f>MAX((Sheet!$F$37*1.414*(2*Sheet!$D$32*Sheet!$F$25*B100/60*Sheet!$D$30/1000*Sheet!$D$31/1000)*(Sheet!$D$11/Sheet!$D$33))-1.4,0)</f>
        <v>466.11999999999915</v>
      </c>
      <c r="D100" s="131">
        <f>(Sheet!$D$41^4*Sheet!$D$32^2*Sheet!$F$25^2*B100^2*Sheet!$D$13*0.001*Sheet!$D$11*2*PI()*Sheet!$F$37*Sheet!$D$43)/(144*10^8*Sheet!$D$65)</f>
        <v>185.06789341995707</v>
      </c>
      <c r="E100" s="131">
        <f>A100^3*Sheet!$D$75/2*Sheet!$D$7^2/4*PI()*Sheet!$D$76/100</f>
        <v>5384.5478585304145</v>
      </c>
      <c r="F100" s="131">
        <f t="shared" si="4"/>
        <v>5199.4799651104577</v>
      </c>
      <c r="G100" s="131">
        <f>IF(F100=0,0,SQRT((C100^2+2*F100*Sheet!$F$69)/(2*Sheet!$F$69^2)-SQRT((C100^2+2*F100*Sheet!$F$69)^2/(4*Sheet!$F$69^4)-(F100^2/Sheet!$F$69^2))))</f>
        <v>10.917089041685609</v>
      </c>
      <c r="H100" s="131">
        <f>G100^2*Sheet!$F$69</f>
        <v>110.80642099981075</v>
      </c>
      <c r="I100" s="131">
        <f>G100*Sheet!$D$77</f>
        <v>13.100506850022731</v>
      </c>
      <c r="J100" s="131">
        <f t="shared" si="5"/>
        <v>5075.573037260624</v>
      </c>
      <c r="K100" s="131">
        <f t="shared" si="6"/>
        <v>6.5896735752430833E-4</v>
      </c>
      <c r="L100" s="131">
        <f t="shared" si="7"/>
        <v>29.299019702018889</v>
      </c>
    </row>
    <row r="101" spans="1:12" x14ac:dyDescent="0.2">
      <c r="A101" s="131">
        <v>9.6999999999999815</v>
      </c>
      <c r="B101" s="131">
        <f>Sheet!$D$5*A101*60/(Sheet!$D$7*PI())</f>
        <v>216.13241271879343</v>
      </c>
      <c r="C101" s="131">
        <f>MAX((Sheet!$F$37*1.414*(2*Sheet!$D$32*Sheet!$F$25*B101/60*Sheet!$D$30/1000*Sheet!$D$31/1000)*(Sheet!$D$11/Sheet!$D$33))-1.4,0)</f>
        <v>470.9899999999991</v>
      </c>
      <c r="D101" s="131">
        <f>(Sheet!$D$41^4*Sheet!$D$32^2*Sheet!$F$25^2*B101^2*Sheet!$D$13*0.001*Sheet!$D$11*2*PI()*Sheet!$F$37*Sheet!$D$43)/(144*10^8*Sheet!$D$65)</f>
        <v>188.94355568450254</v>
      </c>
      <c r="E101" s="131">
        <f>A101^3*Sheet!$D$75/2*Sheet!$D$7^2/4*PI()*Sheet!$D$76/100</f>
        <v>5554.5738476658917</v>
      </c>
      <c r="F101" s="131">
        <f t="shared" si="4"/>
        <v>5365.6302919813888</v>
      </c>
      <c r="G101" s="131">
        <f>IF(F101=0,0,SQRT((C101^2+2*F101*Sheet!$F$69)/(2*Sheet!$F$69^2)-SQRT((C101^2+2*F101*Sheet!$F$69)^2/(4*Sheet!$F$69^4)-(F101^2/Sheet!$F$69^2))))</f>
        <v>11.146963576902012</v>
      </c>
      <c r="H101" s="131">
        <f>G101^2*Sheet!$F$69</f>
        <v>115.52191689633503</v>
      </c>
      <c r="I101" s="131">
        <f>G101*Sheet!$D$77</f>
        <v>13.376356292282415</v>
      </c>
      <c r="J101" s="131">
        <f t="shared" si="5"/>
        <v>5236.7320187927717</v>
      </c>
      <c r="K101" s="131">
        <f t="shared" si="6"/>
        <v>5.8499348069307564E-4</v>
      </c>
      <c r="L101" s="131">
        <f t="shared" si="7"/>
        <v>26.835857838302829</v>
      </c>
    </row>
    <row r="102" spans="1:12" x14ac:dyDescent="0.2">
      <c r="A102" s="131">
        <v>9.7999999999999812</v>
      </c>
      <c r="B102" s="131">
        <f>Sheet!$D$5*A102*60/(Sheet!$D$7*PI())</f>
        <v>218.36058192207997</v>
      </c>
      <c r="C102" s="131">
        <f>MAX((Sheet!$F$37*1.414*(2*Sheet!$D$32*Sheet!$F$25*B102/60*Sheet!$D$30/1000*Sheet!$D$31/1000)*(Sheet!$D$11/Sheet!$D$33))-1.4,0)</f>
        <v>475.85999999999905</v>
      </c>
      <c r="D102" s="131">
        <f>(Sheet!$D$41^4*Sheet!$D$32^2*Sheet!$F$25^2*B102^2*Sheet!$D$13*0.001*Sheet!$D$11*2*PI()*Sheet!$F$37*Sheet!$D$43)/(144*10^8*Sheet!$D$65)</f>
        <v>192.85938025230766</v>
      </c>
      <c r="E102" s="131">
        <f>A102^3*Sheet!$D$75/2*Sheet!$D$7^2/4*PI()*Sheet!$D$76/100</f>
        <v>5728.1419181156389</v>
      </c>
      <c r="F102" s="131">
        <f t="shared" si="4"/>
        <v>5535.2825378633315</v>
      </c>
      <c r="G102" s="131">
        <f>IF(F102=0,0,SQRT((C102^2+2*F102*Sheet!$F$69)/(2*Sheet!$F$69^2)-SQRT((C102^2+2*F102*Sheet!$F$69)^2/(4*Sheet!$F$69^4)-(F102^2/Sheet!$F$69^2))))</f>
        <v>11.379181462370468</v>
      </c>
      <c r="H102" s="131">
        <f>G102^2*Sheet!$F$69</f>
        <v>120.38524717949039</v>
      </c>
      <c r="I102" s="131">
        <f>G102*Sheet!$D$77</f>
        <v>13.655017754844561</v>
      </c>
      <c r="J102" s="131">
        <f t="shared" si="5"/>
        <v>5401.2422729289965</v>
      </c>
      <c r="K102" s="131">
        <f t="shared" si="6"/>
        <v>5.1823905798409407E-4</v>
      </c>
      <c r="L102" s="131">
        <f t="shared" si="7"/>
        <v>24.52042003740733</v>
      </c>
    </row>
    <row r="103" spans="1:12" x14ac:dyDescent="0.2">
      <c r="A103" s="131">
        <v>9.8999999999999808</v>
      </c>
      <c r="B103" s="131">
        <f>Sheet!$D$5*A103*60/(Sheet!$D$7*PI())</f>
        <v>220.58875112536651</v>
      </c>
      <c r="C103" s="131">
        <f>MAX((Sheet!$F$37*1.414*(2*Sheet!$D$32*Sheet!$F$25*B103/60*Sheet!$D$30/1000*Sheet!$D$31/1000)*(Sheet!$D$11/Sheet!$D$33))-1.4,0)</f>
        <v>480.72999999999911</v>
      </c>
      <c r="D103" s="131">
        <f>(Sheet!$D$41^4*Sheet!$D$32^2*Sheet!$F$25^2*B103^2*Sheet!$D$13*0.001*Sheet!$D$11*2*PI()*Sheet!$F$37*Sheet!$D$43)/(144*10^8*Sheet!$D$65)</f>
        <v>196.81536712337228</v>
      </c>
      <c r="E103" s="131">
        <f>A103^3*Sheet!$D$75/2*Sheet!$D$7^2/4*PI()*Sheet!$D$76/100</f>
        <v>5905.2885861818704</v>
      </c>
      <c r="F103" s="131">
        <f t="shared" si="4"/>
        <v>5708.4732190584982</v>
      </c>
      <c r="G103" s="131">
        <f>IF(F103=0,0,SQRT((C103^2+2*F103*Sheet!$F$69)/(2*Sheet!$F$69^2)-SQRT((C103^2+2*F103*Sheet!$F$69)^2/(4*Sheet!$F$69^4)-(F103^2/Sheet!$F$69^2))))</f>
        <v>11.613741193925591</v>
      </c>
      <c r="H103" s="131">
        <f>G103^2*Sheet!$F$69</f>
        <v>125.39941490251263</v>
      </c>
      <c r="I103" s="131">
        <f>G103*Sheet!$D$77</f>
        <v>13.93648943271071</v>
      </c>
      <c r="J103" s="131">
        <f t="shared" si="5"/>
        <v>5569.1373147232744</v>
      </c>
      <c r="K103" s="131">
        <f t="shared" si="6"/>
        <v>4.5814092886633997E-4</v>
      </c>
      <c r="L103" s="131">
        <f t="shared" si="7"/>
        <v>22.350699742999275</v>
      </c>
    </row>
    <row r="104" spans="1:12" x14ac:dyDescent="0.2">
      <c r="A104" s="131">
        <v>9.9999999999999805</v>
      </c>
      <c r="B104" s="131">
        <f>Sheet!$D$5*A104*60/(Sheet!$D$7*PI())</f>
        <v>222.81692032865305</v>
      </c>
      <c r="C104" s="131">
        <f>MAX((Sheet!$F$37*1.414*(2*Sheet!$D$32*Sheet!$F$25*B104/60*Sheet!$D$30/1000*Sheet!$D$31/1000)*(Sheet!$D$11/Sheet!$D$33))-1.4,0)</f>
        <v>485.59999999999906</v>
      </c>
      <c r="D104" s="131">
        <f>(Sheet!$D$41^4*Sheet!$D$32^2*Sheet!$F$25^2*B104^2*Sheet!$D$13*0.001*Sheet!$D$11*2*PI()*Sheet!$F$37*Sheet!$D$43)/(144*10^8*Sheet!$D$65)</f>
        <v>200.81151629769644</v>
      </c>
      <c r="E104" s="131">
        <f>A104^3*Sheet!$D$75/2*Sheet!$D$7^2/4*PI()*Sheet!$D$76/100</f>
        <v>6086.0503681667915</v>
      </c>
      <c r="F104" s="131">
        <f t="shared" si="4"/>
        <v>5885.238851869095</v>
      </c>
      <c r="G104" s="131">
        <f>IF(F104=0,0,SQRT((C104^2+2*F104*Sheet!$F$69)/(2*Sheet!$F$69^2)-SQRT((C104^2+2*F104*Sheet!$F$69)^2/(4*Sheet!$F$69^4)-(F104^2/Sheet!$F$69^2))))</f>
        <v>11.850641269998194</v>
      </c>
      <c r="H104" s="131">
        <f>G104^2*Sheet!$F$69</f>
        <v>130.56745115758631</v>
      </c>
      <c r="I104" s="131">
        <f>G104*Sheet!$D$77</f>
        <v>14.220769523997832</v>
      </c>
      <c r="J104" s="131">
        <f t="shared" si="5"/>
        <v>5740.4506311875111</v>
      </c>
      <c r="K104" s="131">
        <f t="shared" si="6"/>
        <v>4.0416221136153533E-4</v>
      </c>
      <c r="L104" s="131">
        <f t="shared" si="7"/>
        <v>20.323841418697199</v>
      </c>
    </row>
    <row r="105" spans="1:12" x14ac:dyDescent="0.2">
      <c r="A105" s="131">
        <v>10.09999999999998</v>
      </c>
      <c r="B105" s="131">
        <f>Sheet!$D$5*A105*60/(Sheet!$D$7*PI())</f>
        <v>225.04508953193957</v>
      </c>
      <c r="C105" s="131">
        <f>MAX((Sheet!$F$37*1.414*(2*Sheet!$D$32*Sheet!$F$25*B105/60*Sheet!$D$30/1000*Sheet!$D$31/1000)*(Sheet!$D$11/Sheet!$D$33))-1.4,0)</f>
        <v>490.46999999999906</v>
      </c>
      <c r="D105" s="131">
        <f>(Sheet!$D$41^4*Sheet!$D$32^2*Sheet!$F$25^2*B105^2*Sheet!$D$13*0.001*Sheet!$D$11*2*PI()*Sheet!$F$37*Sheet!$D$43)/(144*10^8*Sheet!$D$65)</f>
        <v>204.84782777528011</v>
      </c>
      <c r="E105" s="131">
        <f>A105^3*Sheet!$D$75/2*Sheet!$D$7^2/4*PI()*Sheet!$D$76/100</f>
        <v>6270.4637803726118</v>
      </c>
      <c r="F105" s="131">
        <f t="shared" si="4"/>
        <v>6065.6159525973317</v>
      </c>
      <c r="G105" s="131">
        <f>IF(F105=0,0,SQRT((C105^2+2*F105*Sheet!$F$69)/(2*Sheet!$F$69^2)-SQRT((C105^2+2*F105*Sheet!$F$69)^2/(4*Sheet!$F$69^4)-(F105^2/Sheet!$F$69^2))))</f>
        <v>12.089880191614645</v>
      </c>
      <c r="H105" s="131">
        <f>G105^2*Sheet!$F$69</f>
        <v>135.89241501612699</v>
      </c>
      <c r="I105" s="131">
        <f>G105*Sheet!$D$77</f>
        <v>14.507856229937573</v>
      </c>
      <c r="J105" s="131">
        <f t="shared" si="5"/>
        <v>5915.2156813512665</v>
      </c>
      <c r="K105" s="131">
        <f t="shared" si="6"/>
        <v>3.5579331998443725E-4</v>
      </c>
      <c r="L105" s="131">
        <f t="shared" si="7"/>
        <v>18.436245417061677</v>
      </c>
    </row>
    <row r="106" spans="1:12" x14ac:dyDescent="0.2">
      <c r="A106" s="131">
        <v>10.19999999999998</v>
      </c>
      <c r="B106" s="131">
        <f>Sheet!$D$5*A106*60/(Sheet!$D$7*PI())</f>
        <v>227.27325873522611</v>
      </c>
      <c r="C106" s="131">
        <f>MAX((Sheet!$F$37*1.414*(2*Sheet!$D$32*Sheet!$F$25*B106/60*Sheet!$D$30/1000*Sheet!$D$31/1000)*(Sheet!$D$11/Sheet!$D$33))-1.4,0)</f>
        <v>495.33999999999918</v>
      </c>
      <c r="D106" s="131">
        <f>(Sheet!$D$41^4*Sheet!$D$32^2*Sheet!$F$25^2*B106^2*Sheet!$D$13*0.001*Sheet!$D$11*2*PI()*Sheet!$F$37*Sheet!$D$43)/(144*10^8*Sheet!$D$65)</f>
        <v>208.9243015561234</v>
      </c>
      <c r="E106" s="131">
        <f>A106^3*Sheet!$D$75/2*Sheet!$D$7^2/4*PI()*Sheet!$D$76/100</f>
        <v>6458.5653391015439</v>
      </c>
      <c r="F106" s="131">
        <f t="shared" si="4"/>
        <v>6249.6410375454207</v>
      </c>
      <c r="G106" s="131">
        <f>IF(F106=0,0,SQRT((C106^2+2*F106*Sheet!$F$69)/(2*Sheet!$F$69^2)-SQRT((C106^2+2*F106*Sheet!$F$69)^2/(4*Sheet!$F$69^4)-(F106^2/Sheet!$F$69^2))))</f>
        <v>12.331456462381187</v>
      </c>
      <c r="H106" s="131">
        <f>G106^2*Sheet!$F$69</f>
        <v>141.37739346892803</v>
      </c>
      <c r="I106" s="131">
        <f>G106*Sheet!$D$77</f>
        <v>14.797747754857424</v>
      </c>
      <c r="J106" s="131">
        <f t="shared" si="5"/>
        <v>6093.4658963216352</v>
      </c>
      <c r="K106" s="131">
        <f t="shared" si="6"/>
        <v>3.1255261723998402E-4</v>
      </c>
      <c r="L106" s="131">
        <f t="shared" si="7"/>
        <v>16.683671534271312</v>
      </c>
    </row>
    <row r="107" spans="1:12" x14ac:dyDescent="0.2">
      <c r="A107" s="131">
        <v>10.299999999999979</v>
      </c>
      <c r="B107" s="131">
        <f>Sheet!$D$5*A107*60/(Sheet!$D$7*PI())</f>
        <v>229.50142793851259</v>
      </c>
      <c r="C107" s="131">
        <f>MAX((Sheet!$F$37*1.414*(2*Sheet!$D$32*Sheet!$F$25*B107/60*Sheet!$D$30/1000*Sheet!$D$31/1000)*(Sheet!$D$11/Sheet!$D$33))-1.4,0)</f>
        <v>500.20999999999896</v>
      </c>
      <c r="D107" s="131">
        <f>(Sheet!$D$41^4*Sheet!$D$32^2*Sheet!$F$25^2*B107^2*Sheet!$D$13*0.001*Sheet!$D$11*2*PI()*Sheet!$F$37*Sheet!$D$43)/(144*10^8*Sheet!$D$65)</f>
        <v>213.04093764022605</v>
      </c>
      <c r="E107" s="131">
        <f>A107^3*Sheet!$D$75/2*Sheet!$D$7^2/4*PI()*Sheet!$D$76/100</f>
        <v>6650.391560655793</v>
      </c>
      <c r="F107" s="131">
        <f t="shared" si="4"/>
        <v>6437.3506230155672</v>
      </c>
      <c r="G107" s="131">
        <f>IF(F107=0,0,SQRT((C107^2+2*F107*Sheet!$F$69)/(2*Sheet!$F$69^2)-SQRT((C107^2+2*F107*Sheet!$F$69)^2/(4*Sheet!$F$69^4)-(F107^2/Sheet!$F$69^2))))</f>
        <v>12.575368588489994</v>
      </c>
      <c r="H107" s="131">
        <f>G107^2*Sheet!$F$69</f>
        <v>147.02550136698412</v>
      </c>
      <c r="I107" s="131">
        <f>G107*Sheet!$D$77</f>
        <v>15.090442306187992</v>
      </c>
      <c r="J107" s="131">
        <f t="shared" si="5"/>
        <v>6275.2346793423949</v>
      </c>
      <c r="K107" s="131">
        <f t="shared" si="6"/>
        <v>2.7398673278259631E-4</v>
      </c>
      <c r="L107" s="131">
        <f t="shared" si="7"/>
        <v>15.0613399737967</v>
      </c>
    </row>
    <row r="108" spans="1:12" x14ac:dyDescent="0.2">
      <c r="A108" s="131">
        <v>10.399999999999979</v>
      </c>
      <c r="B108" s="131">
        <f>Sheet!$D$5*A108*60/(Sheet!$D$7*PI())</f>
        <v>231.72959714179913</v>
      </c>
      <c r="C108" s="131">
        <f>MAX((Sheet!$F$37*1.414*(2*Sheet!$D$32*Sheet!$F$25*B108/60*Sheet!$D$30/1000*Sheet!$D$31/1000)*(Sheet!$D$11/Sheet!$D$33))-1.4,0)</f>
        <v>505.07999999999902</v>
      </c>
      <c r="D108" s="131">
        <f>(Sheet!$D$41^4*Sheet!$D$32^2*Sheet!$F$25^2*B108^2*Sheet!$D$13*0.001*Sheet!$D$11*2*PI()*Sheet!$F$37*Sheet!$D$43)/(144*10^8*Sheet!$D$65)</f>
        <v>217.19773602758841</v>
      </c>
      <c r="E108" s="131">
        <f>A108^3*Sheet!$D$75/2*Sheet!$D$7^2/4*PI()*Sheet!$D$76/100</f>
        <v>6845.9789613375669</v>
      </c>
      <c r="F108" s="131">
        <f t="shared" si="4"/>
        <v>6628.7812253099783</v>
      </c>
      <c r="G108" s="131">
        <f>IF(F108=0,0,SQRT((C108^2+2*F108*Sheet!$F$69)/(2*Sheet!$F$69^2)-SQRT((C108^2+2*F108*Sheet!$F$69)^2/(4*Sheet!$F$69^4)-(F108^2/Sheet!$F$69^2))))</f>
        <v>12.821615078696427</v>
      </c>
      <c r="H108" s="131">
        <f>G108^2*Sheet!$F$69</f>
        <v>152.83988136185462</v>
      </c>
      <c r="I108" s="131">
        <f>G108*Sheet!$D$77</f>
        <v>15.385938094435712</v>
      </c>
      <c r="J108" s="131">
        <f t="shared" si="5"/>
        <v>6460.5554058536873</v>
      </c>
      <c r="K108" s="131">
        <f t="shared" si="6"/>
        <v>2.3967058474322662E-4</v>
      </c>
      <c r="L108" s="131">
        <f t="shared" si="7"/>
        <v>13.564028604929829</v>
      </c>
    </row>
    <row r="109" spans="1:12" x14ac:dyDescent="0.2">
      <c r="A109" s="131">
        <v>10.499999999999979</v>
      </c>
      <c r="B109" s="131">
        <f>Sheet!$D$5*A109*60/(Sheet!$D$7*PI())</f>
        <v>233.95776634508573</v>
      </c>
      <c r="C109" s="131">
        <f>MAX((Sheet!$F$37*1.414*(2*Sheet!$D$32*Sheet!$F$25*B109/60*Sheet!$D$30/1000*Sheet!$D$31/1000)*(Sheet!$D$11/Sheet!$D$33))-1.4,0)</f>
        <v>509.94999999999914</v>
      </c>
      <c r="D109" s="131">
        <f>(Sheet!$D$41^4*Sheet!$D$32^2*Sheet!$F$25^2*B109^2*Sheet!$D$13*0.001*Sheet!$D$11*2*PI()*Sheet!$F$37*Sheet!$D$43)/(144*10^8*Sheet!$D$65)</f>
        <v>221.39469671821041</v>
      </c>
      <c r="E109" s="131">
        <f>A109^3*Sheet!$D$75/2*Sheet!$D$7^2/4*PI()*Sheet!$D$76/100</f>
        <v>7045.3640574490792</v>
      </c>
      <c r="F109" s="131">
        <f t="shared" si="4"/>
        <v>6823.9693607308691</v>
      </c>
      <c r="G109" s="131">
        <f>IF(F109=0,0,SQRT((C109^2+2*F109*Sheet!$F$69)/(2*Sheet!$F$69^2)-SQRT((C109^2+2*F109*Sheet!$F$69)^2/(4*Sheet!$F$69^4)-(F109^2/Sheet!$F$69^2))))</f>
        <v>13.070194444325887</v>
      </c>
      <c r="H109" s="131">
        <f>G109^2*Sheet!$F$69</f>
        <v>158.82370384689276</v>
      </c>
      <c r="I109" s="131">
        <f>G109*Sheet!$D$77</f>
        <v>15.684233333191063</v>
      </c>
      <c r="J109" s="131">
        <f t="shared" si="5"/>
        <v>6649.4614235507852</v>
      </c>
      <c r="K109" s="131">
        <f t="shared" si="6"/>
        <v>2.0920713758838171E-4</v>
      </c>
      <c r="L109" s="131">
        <f t="shared" si="7"/>
        <v>12.186165568506727</v>
      </c>
    </row>
    <row r="110" spans="1:12" x14ac:dyDescent="0.2">
      <c r="A110" s="131">
        <v>10.599999999999978</v>
      </c>
      <c r="B110" s="131">
        <f>Sheet!$D$5*A110*60/(Sheet!$D$7*PI())</f>
        <v>236.18593554837221</v>
      </c>
      <c r="C110" s="131">
        <f>MAX((Sheet!$F$37*1.414*(2*Sheet!$D$32*Sheet!$F$25*B110/60*Sheet!$D$30/1000*Sheet!$D$31/1000)*(Sheet!$D$11/Sheet!$D$33))-1.4,0)</f>
        <v>514.81999999999903</v>
      </c>
      <c r="D110" s="131">
        <f>(Sheet!$D$41^4*Sheet!$D$32^2*Sheet!$F$25^2*B110^2*Sheet!$D$13*0.001*Sheet!$D$11*2*PI()*Sheet!$F$37*Sheet!$D$43)/(144*10^8*Sheet!$D$65)</f>
        <v>225.63181971209167</v>
      </c>
      <c r="E110" s="131">
        <f>A110^3*Sheet!$D$75/2*Sheet!$D$7^2/4*PI()*Sheet!$D$76/100</f>
        <v>7248.5833652925367</v>
      </c>
      <c r="F110" s="131">
        <f t="shared" si="4"/>
        <v>7022.9515455804449</v>
      </c>
      <c r="G110" s="131">
        <f>IF(F110=0,0,SQRT((C110^2+2*F110*Sheet!$F$69)/(2*Sheet!$F$69^2)-SQRT((C110^2+2*F110*Sheet!$F$69)^2/(4*Sheet!$F$69^4)-(F110^2/Sheet!$F$69^2))))</f>
        <v>13.321105199258369</v>
      </c>
      <c r="H110" s="131">
        <f>G110^2*Sheet!$F$69</f>
        <v>164.98016689815026</v>
      </c>
      <c r="I110" s="131">
        <f>G110*Sheet!$D$77</f>
        <v>15.985326239110043</v>
      </c>
      <c r="J110" s="131">
        <f t="shared" si="5"/>
        <v>6841.9860524431851</v>
      </c>
      <c r="K110" s="131">
        <f t="shared" si="6"/>
        <v>1.8222693025421932E-4</v>
      </c>
      <c r="L110" s="131">
        <f t="shared" si="7"/>
        <v>10.921916448967215</v>
      </c>
    </row>
    <row r="111" spans="1:12" x14ac:dyDescent="0.2">
      <c r="A111" s="131">
        <v>10.699999999999978</v>
      </c>
      <c r="B111" s="131">
        <f>Sheet!$D$5*A111*60/(Sheet!$D$7*PI())</f>
        <v>238.41410475165873</v>
      </c>
      <c r="C111" s="131">
        <f>MAX((Sheet!$F$37*1.414*(2*Sheet!$D$32*Sheet!$F$25*B111/60*Sheet!$D$30/1000*Sheet!$D$31/1000)*(Sheet!$D$11/Sheet!$D$33))-1.4,0)</f>
        <v>519.68999999999892</v>
      </c>
      <c r="D111" s="131">
        <f>(Sheet!$D$41^4*Sheet!$D$32^2*Sheet!$F$25^2*B111^2*Sheet!$D$13*0.001*Sheet!$D$11*2*PI()*Sheet!$F$37*Sheet!$D$43)/(144*10^8*Sheet!$D$65)</f>
        <v>229.9091050092326</v>
      </c>
      <c r="E111" s="131">
        <f>A111^3*Sheet!$D$75/2*Sheet!$D$7^2/4*PI()*Sheet!$D$76/100</f>
        <v>7455.6734011701474</v>
      </c>
      <c r="F111" s="131">
        <f t="shared" si="4"/>
        <v>7225.7642961609145</v>
      </c>
      <c r="G111" s="131">
        <f>IF(F111=0,0,SQRT((C111^2+2*F111*Sheet!$F$69)/(2*Sheet!$F$69^2)-SQRT((C111^2+2*F111*Sheet!$F$69)^2/(4*Sheet!$F$69^4)-(F111^2/Sheet!$F$69^2))))</f>
        <v>13.574345859925794</v>
      </c>
      <c r="H111" s="131">
        <f>G111^2*Sheet!$F$69</f>
        <v>171.31249621576887</v>
      </c>
      <c r="I111" s="131">
        <f>G111*Sheet!$D$77</f>
        <v>16.289215031910953</v>
      </c>
      <c r="J111" s="131">
        <f t="shared" si="5"/>
        <v>7038.1625849132342</v>
      </c>
      <c r="K111" s="131">
        <f t="shared" si="6"/>
        <v>1.5838740726152194E-4</v>
      </c>
      <c r="L111" s="131">
        <f t="shared" si="7"/>
        <v>9.7652653956948559</v>
      </c>
    </row>
    <row r="112" spans="1:12" x14ac:dyDescent="0.2">
      <c r="A112" s="131">
        <v>10.799999999999978</v>
      </c>
      <c r="B112" s="131">
        <f>Sheet!$D$5*A112*60/(Sheet!$D$7*PI())</f>
        <v>240.64227395494524</v>
      </c>
      <c r="C112" s="131">
        <f>MAX((Sheet!$F$37*1.414*(2*Sheet!$D$32*Sheet!$F$25*B112/60*Sheet!$D$30/1000*Sheet!$D$31/1000)*(Sheet!$D$11/Sheet!$D$33))-1.4,0)</f>
        <v>524.55999999999892</v>
      </c>
      <c r="D112" s="131">
        <f>(Sheet!$D$41^4*Sheet!$D$32^2*Sheet!$F$25^2*B112^2*Sheet!$D$13*0.001*Sheet!$D$11*2*PI()*Sheet!$F$37*Sheet!$D$43)/(144*10^8*Sheet!$D$65)</f>
        <v>234.22655260963299</v>
      </c>
      <c r="E112" s="131">
        <f>A112^3*Sheet!$D$75/2*Sheet!$D$7^2/4*PI()*Sheet!$D$76/100</f>
        <v>7666.6706813841247</v>
      </c>
      <c r="F112" s="131">
        <f t="shared" si="4"/>
        <v>7432.4441287744921</v>
      </c>
      <c r="G112" s="131">
        <f>IF(F112=0,0,SQRT((C112^2+2*F112*Sheet!$F$69)/(2*Sheet!$F$69^2)-SQRT((C112^2+2*F112*Sheet!$F$69)^2/(4*Sheet!$F$69^4)-(F112^2/Sheet!$F$69^2))))</f>
        <v>13.829914945304742</v>
      </c>
      <c r="H112" s="131">
        <f>G112^2*Sheet!$F$69</f>
        <v>177.82394506545322</v>
      </c>
      <c r="I112" s="131">
        <f>G112*Sheet!$D$77</f>
        <v>16.595897934365688</v>
      </c>
      <c r="J112" s="131">
        <f t="shared" si="5"/>
        <v>7238.0242857746734</v>
      </c>
      <c r="K112" s="131">
        <f t="shared" si="6"/>
        <v>1.3737208412802201E-4</v>
      </c>
      <c r="L112" s="131">
        <f t="shared" si="7"/>
        <v>8.710089734489479</v>
      </c>
    </row>
    <row r="113" spans="1:12" x14ac:dyDescent="0.2">
      <c r="A113" s="131">
        <v>10.899999999999977</v>
      </c>
      <c r="B113" s="131">
        <f>Sheet!$D$5*A113*60/(Sheet!$D$7*PI())</f>
        <v>242.87044315823181</v>
      </c>
      <c r="C113" s="131">
        <f>MAX((Sheet!$F$37*1.414*(2*Sheet!$D$32*Sheet!$F$25*B113/60*Sheet!$D$30/1000*Sheet!$D$31/1000)*(Sheet!$D$11/Sheet!$D$33))-1.4,0)</f>
        <v>529.42999999999904</v>
      </c>
      <c r="D113" s="131">
        <f>(Sheet!$D$41^4*Sheet!$D$32^2*Sheet!$F$25^2*B113^2*Sheet!$D$13*0.001*Sheet!$D$11*2*PI()*Sheet!$F$37*Sheet!$D$43)/(144*10^8*Sheet!$D$65)</f>
        <v>238.58416251329317</v>
      </c>
      <c r="E113" s="131">
        <f>A113^3*Sheet!$D$75/2*Sheet!$D$7^2/4*PI()*Sheet!$D$76/100</f>
        <v>7881.6117222366665</v>
      </c>
      <c r="F113" s="131">
        <f t="shared" si="4"/>
        <v>7643.0275597233731</v>
      </c>
      <c r="G113" s="131">
        <f>IF(F113=0,0,SQRT((C113^2+2*F113*Sheet!$F$69)/(2*Sheet!$F$69^2)-SQRT((C113^2+2*F113*Sheet!$F$69)^2/(4*Sheet!$F$69^4)-(F113^2/Sheet!$F$69^2))))</f>
        <v>14.08781097690518</v>
      </c>
      <c r="H113" s="131">
        <f>G113^2*Sheet!$F$69</f>
        <v>184.51779422002477</v>
      </c>
      <c r="I113" s="131">
        <f>G113*Sheet!$D$77</f>
        <v>16.905373172286215</v>
      </c>
      <c r="J113" s="131">
        <f t="shared" si="5"/>
        <v>7441.6043923310626</v>
      </c>
      <c r="K113" s="131">
        <f t="shared" si="6"/>
        <v>1.1888957671641394E-4</v>
      </c>
      <c r="L113" s="131">
        <f t="shared" si="7"/>
        <v>7.7502277595463616</v>
      </c>
    </row>
    <row r="114" spans="1:12" x14ac:dyDescent="0.2">
      <c r="A114" s="131">
        <v>10.999999999999977</v>
      </c>
      <c r="B114" s="131">
        <f>Sheet!$D$5*A114*60/(Sheet!$D$7*PI())</f>
        <v>245.09861236151835</v>
      </c>
      <c r="C114" s="131">
        <f>MAX((Sheet!$F$37*1.414*(2*Sheet!$D$32*Sheet!$F$25*B114/60*Sheet!$D$30/1000*Sheet!$D$31/1000)*(Sheet!$D$11/Sheet!$D$33))-1.4,0)</f>
        <v>534.29999999999905</v>
      </c>
      <c r="D114" s="131">
        <f>(Sheet!$D$41^4*Sheet!$D$32^2*Sheet!$F$25^2*B114^2*Sheet!$D$13*0.001*Sheet!$D$11*2*PI()*Sheet!$F$37*Sheet!$D$43)/(144*10^8*Sheet!$D$65)</f>
        <v>242.98193472021265</v>
      </c>
      <c r="E114" s="131">
        <f>A114^3*Sheet!$D$75/2*Sheet!$D$7^2/4*PI()*Sheet!$D$76/100</f>
        <v>8100.5330400299954</v>
      </c>
      <c r="F114" s="131">
        <f t="shared" si="4"/>
        <v>7857.5511053097825</v>
      </c>
      <c r="G114" s="131">
        <f>IF(F114=0,0,SQRT((C114^2+2*F114*Sheet!$F$69)/(2*Sheet!$F$69^2)-SQRT((C114^2+2*F114*Sheet!$F$69)^2/(4*Sheet!$F$69^4)-(F114^2/Sheet!$F$69^2))))</f>
        <v>14.34803247877198</v>
      </c>
      <c r="H114" s="131">
        <f>G114^2*Sheet!$F$69</f>
        <v>191.39735190148969</v>
      </c>
      <c r="I114" s="131">
        <f>G114*Sheet!$D$77</f>
        <v>17.217638974526377</v>
      </c>
      <c r="J114" s="131">
        <f t="shared" si="5"/>
        <v>7648.9361144337663</v>
      </c>
      <c r="K114" s="131">
        <f t="shared" si="6"/>
        <v>1.0267252225057576E-4</v>
      </c>
      <c r="L114" s="131">
        <f t="shared" si="7"/>
        <v>6.8795395354053159</v>
      </c>
    </row>
    <row r="115" spans="1:12" x14ac:dyDescent="0.2">
      <c r="A115" s="131">
        <v>11.099999999999977</v>
      </c>
      <c r="B115" s="131">
        <f>Sheet!$D$5*A115*60/(Sheet!$D$7*PI())</f>
        <v>247.32678156480483</v>
      </c>
      <c r="C115" s="131">
        <f>MAX((Sheet!$F$37*1.414*(2*Sheet!$D$32*Sheet!$F$25*B115/60*Sheet!$D$30/1000*Sheet!$D$31/1000)*(Sheet!$D$11/Sheet!$D$33))-1.4,0)</f>
        <v>539.16999999999894</v>
      </c>
      <c r="D115" s="131">
        <f>(Sheet!$D$41^4*Sheet!$D$32^2*Sheet!$F$25^2*B115^2*Sheet!$D$13*0.001*Sheet!$D$11*2*PI()*Sheet!$F$37*Sheet!$D$43)/(144*10^8*Sheet!$D$65)</f>
        <v>247.4198692303917</v>
      </c>
      <c r="E115" s="131">
        <f>A115^3*Sheet!$D$75/2*Sheet!$D$7^2/4*PI()*Sheet!$D$76/100</f>
        <v>8323.4711510663128</v>
      </c>
      <c r="F115" s="131">
        <f t="shared" si="4"/>
        <v>8076.0512818359211</v>
      </c>
      <c r="G115" s="131">
        <f>IF(F115=0,0,SQRT((C115^2+2*F115*Sheet!$F$69)/(2*Sheet!$F$69^2)-SQRT((C115^2+2*F115*Sheet!$F$69)^2/(4*Sheet!$F$69^4)-(F115^2/Sheet!$F$69^2))))</f>
        <v>14.610577977470754</v>
      </c>
      <c r="H115" s="131">
        <f>G115^2*Sheet!$F$69</f>
        <v>198.46595372289093</v>
      </c>
      <c r="I115" s="131">
        <f>G115*Sheet!$D$77</f>
        <v>17.532693572964906</v>
      </c>
      <c r="J115" s="131">
        <f t="shared" si="5"/>
        <v>7860.0526345400658</v>
      </c>
      <c r="K115" s="131">
        <f t="shared" si="6"/>
        <v>8.8476417657189782E-5</v>
      </c>
      <c r="L115" s="131">
        <f t="shared" si="7"/>
        <v>6.0919606653813005</v>
      </c>
    </row>
    <row r="116" spans="1:12" x14ac:dyDescent="0.2">
      <c r="A116" s="131">
        <v>11.199999999999976</v>
      </c>
      <c r="B116" s="131">
        <f>Sheet!$D$5*A116*60/(Sheet!$D$7*PI())</f>
        <v>249.55495076809137</v>
      </c>
      <c r="C116" s="131">
        <f>MAX((Sheet!$F$37*1.414*(2*Sheet!$D$32*Sheet!$F$25*B116/60*Sheet!$D$30/1000*Sheet!$D$31/1000)*(Sheet!$D$11/Sheet!$D$33))-1.4,0)</f>
        <v>544.03999999999894</v>
      </c>
      <c r="D116" s="131">
        <f>(Sheet!$D$41^4*Sheet!$D$32^2*Sheet!$F$25^2*B116^2*Sheet!$D$13*0.001*Sheet!$D$11*2*PI()*Sheet!$F$37*Sheet!$D$43)/(144*10^8*Sheet!$D$65)</f>
        <v>251.89796604383034</v>
      </c>
      <c r="E116" s="131">
        <f>A116^3*Sheet!$D$75/2*Sheet!$D$7^2/4*PI()*Sheet!$D$76/100</f>
        <v>8550.4625716478295</v>
      </c>
      <c r="F116" s="131">
        <f t="shared" si="4"/>
        <v>8298.5646056039986</v>
      </c>
      <c r="G116" s="131">
        <f>IF(F116=0,0,SQRT((C116^2+2*F116*Sheet!$F$69)/(2*Sheet!$F$69^2)-SQRT((C116^2+2*F116*Sheet!$F$69)^2/(4*Sheet!$F$69^4)-(F116^2/Sheet!$F$69^2))))</f>
        <v>14.875446002083441</v>
      </c>
      <c r="H116" s="131">
        <f>G116^2*Sheet!$F$69</f>
        <v>205.72696263059211</v>
      </c>
      <c r="I116" s="131">
        <f>G116*Sheet!$D$77</f>
        <v>17.850535202500129</v>
      </c>
      <c r="J116" s="131">
        <f t="shared" si="5"/>
        <v>8074.9871077709058</v>
      </c>
      <c r="K116" s="131">
        <f t="shared" si="6"/>
        <v>7.6078398699439633E-5</v>
      </c>
      <c r="L116" s="131">
        <f t="shared" si="7"/>
        <v>5.381549096817789</v>
      </c>
    </row>
    <row r="117" spans="1:12" x14ac:dyDescent="0.2">
      <c r="A117" s="131">
        <v>11.299999999999976</v>
      </c>
      <c r="B117" s="131">
        <f>Sheet!$D$5*A117*60/(Sheet!$D$7*PI())</f>
        <v>251.78311997137786</v>
      </c>
      <c r="C117" s="131">
        <f>MAX((Sheet!$F$37*1.414*(2*Sheet!$D$32*Sheet!$F$25*B117/60*Sheet!$D$30/1000*Sheet!$D$31/1000)*(Sheet!$D$11/Sheet!$D$33))-1.4,0)</f>
        <v>548.90999999999883</v>
      </c>
      <c r="D117" s="131">
        <f>(Sheet!$D$41^4*Sheet!$D$32^2*Sheet!$F$25^2*B117^2*Sheet!$D$13*0.001*Sheet!$D$11*2*PI()*Sheet!$F$37*Sheet!$D$43)/(144*10^8*Sheet!$D$65)</f>
        <v>256.41622516052837</v>
      </c>
      <c r="E117" s="131">
        <f>A117^3*Sheet!$D$75/2*Sheet!$D$7^2/4*PI()*Sheet!$D$76/100</f>
        <v>8781.5438180767542</v>
      </c>
      <c r="F117" s="131">
        <f t="shared" si="4"/>
        <v>8525.1275929162257</v>
      </c>
      <c r="G117" s="131">
        <f>IF(F117=0,0,SQRT((C117^2+2*F117*Sheet!$F$69)/(2*Sheet!$F$69^2)-SQRT((C117^2+2*F117*Sheet!$F$69)^2/(4*Sheet!$F$69^4)-(F117^2/Sheet!$F$69^2))))</f>
        <v>15.142635084201945</v>
      </c>
      <c r="H117" s="131">
        <f>G117^2*Sheet!$F$69</f>
        <v>213.18376884669789</v>
      </c>
      <c r="I117" s="131">
        <f>G117*Sheet!$D$77</f>
        <v>18.171162101042334</v>
      </c>
      <c r="J117" s="131">
        <f t="shared" si="5"/>
        <v>8293.7726619684854</v>
      </c>
      <c r="K117" s="131">
        <f t="shared" si="6"/>
        <v>6.5275981113548559E-5</v>
      </c>
      <c r="L117" s="131">
        <f t="shared" si="7"/>
        <v>4.7425251333502292</v>
      </c>
    </row>
    <row r="118" spans="1:12" x14ac:dyDescent="0.2">
      <c r="A118" s="131">
        <v>11.399999999999975</v>
      </c>
      <c r="B118" s="131">
        <f>Sheet!$D$5*A118*60/(Sheet!$D$7*PI())</f>
        <v>254.01128917466443</v>
      </c>
      <c r="C118" s="131">
        <f>MAX((Sheet!$F$37*1.414*(2*Sheet!$D$32*Sheet!$F$25*B118/60*Sheet!$D$30/1000*Sheet!$D$31/1000)*(Sheet!$D$11/Sheet!$D$33))-1.4,0)</f>
        <v>553.77999999999895</v>
      </c>
      <c r="D118" s="131">
        <f>(Sheet!$D$41^4*Sheet!$D$32^2*Sheet!$F$25^2*B118^2*Sheet!$D$13*0.001*Sheet!$D$11*2*PI()*Sheet!$F$37*Sheet!$D$43)/(144*10^8*Sheet!$D$65)</f>
        <v>260.97464658048619</v>
      </c>
      <c r="E118" s="131">
        <f>A118^3*Sheet!$D$75/2*Sheet!$D$7^2/4*PI()*Sheet!$D$76/100</f>
        <v>9016.751406655294</v>
      </c>
      <c r="F118" s="131">
        <f t="shared" si="4"/>
        <v>8755.7767600748084</v>
      </c>
      <c r="G118" s="131">
        <f>IF(F118=0,0,SQRT((C118^2+2*F118*Sheet!$F$69)/(2*Sheet!$F$69^2)-SQRT((C118^2+2*F118*Sheet!$F$69)^2/(4*Sheet!$F$69^4)-(F118^2/Sheet!$F$69^2))))</f>
        <v>15.412143757924779</v>
      </c>
      <c r="H118" s="131">
        <f>G118^2*Sheet!$F$69</f>
        <v>220.83978981174394</v>
      </c>
      <c r="I118" s="131">
        <f>G118*Sheet!$D$77</f>
        <v>18.494572509509734</v>
      </c>
      <c r="J118" s="131">
        <f t="shared" si="5"/>
        <v>8516.4423977535553</v>
      </c>
      <c r="K118" s="131">
        <f t="shared" si="6"/>
        <v>5.5885782682648637E-5</v>
      </c>
      <c r="L118" s="131">
        <f t="shared" si="7"/>
        <v>4.1693049098545165</v>
      </c>
    </row>
    <row r="119" spans="1:12" x14ac:dyDescent="0.2">
      <c r="A119" s="131">
        <v>11.499999999999975</v>
      </c>
      <c r="B119" s="131">
        <f>Sheet!$D$5*A119*60/(Sheet!$D$7*PI())</f>
        <v>256.239458377951</v>
      </c>
      <c r="C119" s="131">
        <f>MAX((Sheet!$F$37*1.414*(2*Sheet!$D$32*Sheet!$F$25*B119/60*Sheet!$D$30/1000*Sheet!$D$31/1000)*(Sheet!$D$11/Sheet!$D$33))-1.4,0)</f>
        <v>558.64999999999907</v>
      </c>
      <c r="D119" s="131">
        <f>(Sheet!$D$41^4*Sheet!$D$32^2*Sheet!$F$25^2*B119^2*Sheet!$D$13*0.001*Sheet!$D$11*2*PI()*Sheet!$F$37*Sheet!$D$43)/(144*10^8*Sheet!$D$65)</f>
        <v>265.57323030370355</v>
      </c>
      <c r="E119" s="131">
        <f>A119^3*Sheet!$D$75/2*Sheet!$D$7^2/4*PI()*Sheet!$D$76/100</f>
        <v>9256.1218536856632</v>
      </c>
      <c r="F119" s="131">
        <f t="shared" si="4"/>
        <v>8990.5486233819593</v>
      </c>
      <c r="G119" s="131">
        <f>IF(F119=0,0,SQRT((C119^2+2*F119*Sheet!$F$69)/(2*Sheet!$F$69^2)-SQRT((C119^2+2*F119*Sheet!$F$69)^2/(4*Sheet!$F$69^4)-(F119^2/Sheet!$F$69^2))))</f>
        <v>15.683970559839711</v>
      </c>
      <c r="H119" s="131">
        <f>G119^2*Sheet!$F$69</f>
        <v>228.69847012717136</v>
      </c>
      <c r="I119" s="131">
        <f>G119*Sheet!$D$77</f>
        <v>18.820764671807652</v>
      </c>
      <c r="J119" s="131">
        <f t="shared" si="5"/>
        <v>8743.0293885829797</v>
      </c>
      <c r="K119" s="131">
        <f t="shared" si="6"/>
        <v>4.7742242925459633E-5</v>
      </c>
      <c r="L119" s="131">
        <f t="shared" si="7"/>
        <v>3.6565276568536542</v>
      </c>
    </row>
    <row r="120" spans="1:12" x14ac:dyDescent="0.2">
      <c r="A120" s="131">
        <v>11.599999999999975</v>
      </c>
      <c r="B120" s="131">
        <f>Sheet!$D$5*A120*60/(Sheet!$D$7*PI())</f>
        <v>258.46762758123748</v>
      </c>
      <c r="C120" s="131">
        <f>MAX((Sheet!$F$37*1.414*(2*Sheet!$D$32*Sheet!$F$25*B120/60*Sheet!$D$30/1000*Sheet!$D$31/1000)*(Sheet!$D$11/Sheet!$D$33))-1.4,0)</f>
        <v>563.51999999999873</v>
      </c>
      <c r="D120" s="131">
        <f>(Sheet!$D$41^4*Sheet!$D$32^2*Sheet!$F$25^2*B120^2*Sheet!$D$13*0.001*Sheet!$D$11*2*PI()*Sheet!$F$37*Sheet!$D$43)/(144*10^8*Sheet!$D$65)</f>
        <v>270.21197633018016</v>
      </c>
      <c r="E120" s="131">
        <f>A120^3*Sheet!$D$75/2*Sheet!$D$7^2/4*PI()*Sheet!$D$76/100</f>
        <v>9499.6916754700633</v>
      </c>
      <c r="F120" s="131">
        <f t="shared" si="4"/>
        <v>9229.4796991398835</v>
      </c>
      <c r="G120" s="131">
        <f>IF(F120=0,0,SQRT((C120^2+2*F120*Sheet!$F$69)/(2*Sheet!$F$69^2)-SQRT((C120^2+2*F120*Sheet!$F$69)^2/(4*Sheet!$F$69^4)-(F120^2/Sheet!$F$69^2))))</f>
        <v>15.958114029034192</v>
      </c>
      <c r="H120" s="131">
        <f>G120^2*Sheet!$F$69</f>
        <v>236.76328149877426</v>
      </c>
      <c r="I120" s="131">
        <f>G120*Sheet!$D$77</f>
        <v>19.149736834841029</v>
      </c>
      <c r="J120" s="131">
        <f t="shared" si="5"/>
        <v>8973.5666808062688</v>
      </c>
      <c r="K120" s="131">
        <f t="shared" si="6"/>
        <v>4.069635487395097E-5</v>
      </c>
      <c r="L120" s="131">
        <f t="shared" si="7"/>
        <v>3.1990771381538705</v>
      </c>
    </row>
    <row r="121" spans="1:12" x14ac:dyDescent="0.2">
      <c r="A121" s="131">
        <v>11.699999999999974</v>
      </c>
      <c r="B121" s="131">
        <f>Sheet!$D$5*A121*60/(Sheet!$D$7*PI())</f>
        <v>260.69579678452396</v>
      </c>
      <c r="C121" s="131">
        <f>MAX((Sheet!$F$37*1.414*(2*Sheet!$D$32*Sheet!$F$25*B121/60*Sheet!$D$30/1000*Sheet!$D$31/1000)*(Sheet!$D$11/Sheet!$D$33))-1.4,0)</f>
        <v>568.38999999999862</v>
      </c>
      <c r="D121" s="131">
        <f>(Sheet!$D$41^4*Sheet!$D$32^2*Sheet!$F$25^2*B121^2*Sheet!$D$13*0.001*Sheet!$D$11*2*PI()*Sheet!$F$37*Sheet!$D$43)/(144*10^8*Sheet!$D$65)</f>
        <v>274.89088465991637</v>
      </c>
      <c r="E121" s="131">
        <f>A121^3*Sheet!$D$75/2*Sheet!$D$7^2/4*PI()*Sheet!$D$76/100</f>
        <v>9747.4973883107104</v>
      </c>
      <c r="F121" s="131">
        <f t="shared" si="4"/>
        <v>9472.6065036507935</v>
      </c>
      <c r="G121" s="131">
        <f>IF(F121=0,0,SQRT((C121^2+2*F121*Sheet!$F$69)/(2*Sheet!$F$69^2)-SQRT((C121^2+2*F121*Sheet!$F$69)^2/(4*Sheet!$F$69^4)-(F121^2/Sheet!$F$69^2))))</f>
        <v>16.234572707070299</v>
      </c>
      <c r="H121" s="131">
        <f>G121^2*Sheet!$F$69</f>
        <v>245.03772267930921</v>
      </c>
      <c r="I121" s="131">
        <f>G121*Sheet!$D$77</f>
        <v>19.48148724848436</v>
      </c>
      <c r="J121" s="131">
        <f t="shared" si="5"/>
        <v>9208.0872937229997</v>
      </c>
      <c r="K121" s="131">
        <f t="shared" si="6"/>
        <v>3.461442129351762E-5</v>
      </c>
      <c r="L121" s="131">
        <f t="shared" si="7"/>
        <v>2.7920976889375506</v>
      </c>
    </row>
    <row r="122" spans="1:12" x14ac:dyDescent="0.2">
      <c r="A122" s="131">
        <v>11.799999999999974</v>
      </c>
      <c r="B122" s="131">
        <f>Sheet!$D$5*A122*60/(Sheet!$D$7*PI())</f>
        <v>262.9239659878105</v>
      </c>
      <c r="C122" s="131">
        <f>MAX((Sheet!$F$37*1.414*(2*Sheet!$D$32*Sheet!$F$25*B122/60*Sheet!$D$30/1000*Sheet!$D$31/1000)*(Sheet!$D$11/Sheet!$D$33))-1.4,0)</f>
        <v>573.25999999999874</v>
      </c>
      <c r="D122" s="131">
        <f>(Sheet!$D$41^4*Sheet!$D$32^2*Sheet!$F$25^2*B122^2*Sheet!$D$13*0.001*Sheet!$D$11*2*PI()*Sheet!$F$37*Sheet!$D$43)/(144*10^8*Sheet!$D$65)</f>
        <v>279.60995529291228</v>
      </c>
      <c r="E122" s="131">
        <f>A122^3*Sheet!$D$75/2*Sheet!$D$7^2/4*PI()*Sheet!$D$76/100</f>
        <v>9999.5755085098117</v>
      </c>
      <c r="F122" s="131">
        <f t="shared" si="4"/>
        <v>9719.9655532168999</v>
      </c>
      <c r="G122" s="131">
        <f>IF(F122=0,0,SQRT((C122^2+2*F122*Sheet!$F$69)/(2*Sheet!$F$69^2)-SQRT((C122^2+2*F122*Sheet!$F$69)^2/(4*Sheet!$F$69^4)-(F122^2/Sheet!$F$69^2))))</f>
        <v>16.513345137990925</v>
      </c>
      <c r="H122" s="131">
        <f>G122^2*Sheet!$F$69</f>
        <v>253.52531941218703</v>
      </c>
      <c r="I122" s="131">
        <f>G122*Sheet!$D$77</f>
        <v>19.81601416558911</v>
      </c>
      <c r="J122" s="131">
        <f t="shared" si="5"/>
        <v>9446.6242196391231</v>
      </c>
      <c r="K122" s="131">
        <f t="shared" si="6"/>
        <v>2.9376845684945416E-5</v>
      </c>
      <c r="L122" s="131">
        <f t="shared" si="7"/>
        <v>2.4310053122294963</v>
      </c>
    </row>
    <row r="123" spans="1:12" x14ac:dyDescent="0.2">
      <c r="A123" s="131">
        <v>11.899999999999974</v>
      </c>
      <c r="B123" s="131">
        <f>Sheet!$D$5*A123*60/(Sheet!$D$7*PI())</f>
        <v>265.15213519109705</v>
      </c>
      <c r="C123" s="131">
        <f>MAX((Sheet!$F$37*1.414*(2*Sheet!$D$32*Sheet!$F$25*B123/60*Sheet!$D$30/1000*Sheet!$D$31/1000)*(Sheet!$D$11/Sheet!$D$33))-1.4,0)</f>
        <v>578.12999999999863</v>
      </c>
      <c r="D123" s="131">
        <f>(Sheet!$D$41^4*Sheet!$D$32^2*Sheet!$F$25^2*B123^2*Sheet!$D$13*0.001*Sheet!$D$11*2*PI()*Sheet!$F$37*Sheet!$D$43)/(144*10^8*Sheet!$D$65)</f>
        <v>284.36918822916778</v>
      </c>
      <c r="E123" s="131">
        <f>A123^3*Sheet!$D$75/2*Sheet!$D$7^2/4*PI()*Sheet!$D$76/100</f>
        <v>10255.962552369572</v>
      </c>
      <c r="F123" s="131">
        <f t="shared" si="4"/>
        <v>9971.5933641404044</v>
      </c>
      <c r="G123" s="131">
        <f>IF(F123=0,0,SQRT((C123^2+2*F123*Sheet!$F$69)/(2*Sheet!$F$69^2)-SQRT((C123^2+2*F123*Sheet!$F$69)^2/(4*Sheet!$F$69^4)-(F123^2/Sheet!$F$69^2))))</f>
        <v>16.79442986830939</v>
      </c>
      <c r="H123" s="131">
        <f>G123^2*Sheet!$F$69</f>
        <v>262.22962437486598</v>
      </c>
      <c r="I123" s="131">
        <f>G123*Sheet!$D$77</f>
        <v>20.153315841971267</v>
      </c>
      <c r="J123" s="131">
        <f t="shared" si="5"/>
        <v>9689.2104239235669</v>
      </c>
      <c r="K123" s="131">
        <f t="shared" si="6"/>
        <v>2.4876966518267855E-5</v>
      </c>
      <c r="L123" s="131">
        <f t="shared" si="7"/>
        <v>2.1114943105465303</v>
      </c>
    </row>
    <row r="124" spans="1:12" x14ac:dyDescent="0.2">
      <c r="A124" s="131">
        <v>11.999999999999973</v>
      </c>
      <c r="B124" s="131">
        <f>Sheet!$D$5*A124*60/(Sheet!$D$7*PI())</f>
        <v>267.38030439438359</v>
      </c>
      <c r="C124" s="131">
        <f>MAX((Sheet!$F$37*1.414*(2*Sheet!$D$32*Sheet!$F$25*B124/60*Sheet!$D$30/1000*Sheet!$D$31/1000)*(Sheet!$D$11/Sheet!$D$33))-1.4,0)</f>
        <v>582.99999999999875</v>
      </c>
      <c r="D124" s="131">
        <f>(Sheet!$D$41^4*Sheet!$D$32^2*Sheet!$F$25^2*B124^2*Sheet!$D$13*0.001*Sheet!$D$11*2*PI()*Sheet!$F$37*Sheet!$D$43)/(144*10^8*Sheet!$D$65)</f>
        <v>289.1685834686827</v>
      </c>
      <c r="E124" s="131">
        <f>A124^3*Sheet!$D$75/2*Sheet!$D$7^2/4*PI()*Sheet!$D$76/100</f>
        <v>10516.695036192208</v>
      </c>
      <c r="F124" s="131">
        <f t="shared" si="4"/>
        <v>10227.526452723525</v>
      </c>
      <c r="G124" s="131">
        <f>IF(F124=0,0,SQRT((C124^2+2*F124*Sheet!$F$69)/(2*Sheet!$F$69^2)-SQRT((C124^2+2*F124*Sheet!$F$69)^2/(4*Sheet!$F$69^4)-(F124^2/Sheet!$F$69^2))))</f>
        <v>17.077825447000684</v>
      </c>
      <c r="H124" s="131">
        <f>G124^2*Sheet!$F$69</f>
        <v>271.15421712246291</v>
      </c>
      <c r="I124" s="131">
        <f>G124*Sheet!$D$77</f>
        <v>20.49339053640082</v>
      </c>
      <c r="J124" s="131">
        <f t="shared" si="5"/>
        <v>9935.8788450646607</v>
      </c>
      <c r="K124" s="131">
        <f t="shared" si="6"/>
        <v>2.1019941398388114E-5</v>
      </c>
      <c r="L124" s="131">
        <f t="shared" si="7"/>
        <v>1.829539937727152</v>
      </c>
    </row>
    <row r="125" spans="1:12" x14ac:dyDescent="0.2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</row>
    <row r="126" spans="1:12" x14ac:dyDescent="0.2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</row>
    <row r="127" spans="1:12" x14ac:dyDescent="0.2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</row>
    <row r="128" spans="1:12" x14ac:dyDescent="0.2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</row>
    <row r="129" spans="1:10" x14ac:dyDescent="0.2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</row>
    <row r="130" spans="1:10" x14ac:dyDescent="0.2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</row>
    <row r="131" spans="1:10" x14ac:dyDescent="0.2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</row>
    <row r="132" spans="1:10" x14ac:dyDescent="0.2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</row>
    <row r="133" spans="1:10" x14ac:dyDescent="0.2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</row>
    <row r="134" spans="1:10" x14ac:dyDescent="0.2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</row>
    <row r="135" spans="1:10" x14ac:dyDescent="0.2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</row>
    <row r="136" spans="1:10" x14ac:dyDescent="0.2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</row>
    <row r="137" spans="1:10" x14ac:dyDescent="0.2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</row>
    <row r="138" spans="1:10" x14ac:dyDescent="0.2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</row>
    <row r="139" spans="1:10" x14ac:dyDescent="0.2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</row>
    <row r="140" spans="1:10" x14ac:dyDescent="0.2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</row>
    <row r="141" spans="1:10" x14ac:dyDescent="0.2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</row>
    <row r="142" spans="1:10" x14ac:dyDescent="0.2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</row>
    <row r="143" spans="1:10" x14ac:dyDescent="0.2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</row>
    <row r="144" spans="1:10" x14ac:dyDescent="0.2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</row>
    <row r="145" spans="1:10" x14ac:dyDescent="0.2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</row>
    <row r="146" spans="1:10" x14ac:dyDescent="0.2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</row>
    <row r="147" spans="1:10" x14ac:dyDescent="0.2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</row>
    <row r="148" spans="1:10" x14ac:dyDescent="0.2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</row>
    <row r="149" spans="1:10" x14ac:dyDescent="0.2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</row>
    <row r="150" spans="1:10" x14ac:dyDescent="0.2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</row>
    <row r="151" spans="1:10" x14ac:dyDescent="0.2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</row>
    <row r="152" spans="1:10" x14ac:dyDescent="0.2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</row>
    <row r="153" spans="1:10" x14ac:dyDescent="0.2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</row>
    <row r="154" spans="1:10" x14ac:dyDescent="0.2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</row>
    <row r="155" spans="1:10" x14ac:dyDescent="0.2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</row>
    <row r="156" spans="1:10" x14ac:dyDescent="0.2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</row>
    <row r="157" spans="1:10" x14ac:dyDescent="0.2">
      <c r="A157" s="131"/>
      <c r="B157" s="131"/>
      <c r="C157" s="131"/>
      <c r="D157" s="131"/>
      <c r="E157" s="131"/>
      <c r="F157" s="131"/>
      <c r="G157" s="131"/>
      <c r="H157" s="131"/>
      <c r="I157" s="131"/>
      <c r="J157" s="131"/>
    </row>
    <row r="158" spans="1:10" x14ac:dyDescent="0.2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</row>
    <row r="159" spans="1:10" x14ac:dyDescent="0.2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</row>
    <row r="160" spans="1:10" x14ac:dyDescent="0.2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</row>
    <row r="161" spans="1:10" x14ac:dyDescent="0.2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</row>
    <row r="162" spans="1:10" x14ac:dyDescent="0.2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</row>
    <row r="163" spans="1:10" x14ac:dyDescent="0.2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</row>
    <row r="164" spans="1:10" x14ac:dyDescent="0.2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</vt:lpstr>
      <vt:lpstr>Stern</vt:lpstr>
      <vt:lpstr>Dreieck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Ice-T</cp:lastModifiedBy>
  <dcterms:created xsi:type="dcterms:W3CDTF">2012-08-05T19:21:51Z</dcterms:created>
  <dcterms:modified xsi:type="dcterms:W3CDTF">2022-04-24T16:01:29Z</dcterms:modified>
</cp:coreProperties>
</file>