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heckCompatibility="1"/>
  <bookViews>
    <workbookView xWindow="-12" yWindow="-12" windowWidth="23064" windowHeight="9540" tabRatio="657"/>
  </bookViews>
  <sheets>
    <sheet name="Sheet" sheetId="1" r:id="rId1"/>
    <sheet name="Stern" sheetId="5" r:id="rId2"/>
    <sheet name="Dreieck" sheetId="7" r:id="rId3"/>
  </sheets>
  <definedNames>
    <definedName name="solver_adj" localSheetId="0" hidden="1">Sheet!$H$11,Sheet!$D$15,Sheet!$D$16,Sheet!$G$23,Sheet!$D$24,Sheet!$D$29,Sheet!$D$30,Sheet!$D$31,Sheet!$D$32,Sheet!$D$41,Sheet!$D$43</definedName>
    <definedName name="solver_cvg" localSheetId="0" hidden="1">0.0001</definedName>
    <definedName name="solver_drv" localSheetId="0" hidden="1">2</definedName>
    <definedName name="solver_eng" localSheetId="0" hidden="1">1</definedName>
    <definedName name="solver_est" localSheetId="0" hidden="1">1</definedName>
    <definedName name="solver_itr" localSheetId="0" hidden="1">2147483647</definedName>
    <definedName name="solver_lhs1" localSheetId="0" hidden="1">Sheet!$D$15</definedName>
    <definedName name="solver_lhs10" localSheetId="0" hidden="1">Sheet!$D$30</definedName>
    <definedName name="solver_lhs11" localSheetId="0" hidden="1">Sheet!$D$30</definedName>
    <definedName name="solver_lhs12" localSheetId="0" hidden="1">Sheet!$D$31</definedName>
    <definedName name="solver_lhs13" localSheetId="0" hidden="1">Sheet!$D$31</definedName>
    <definedName name="solver_lhs14" localSheetId="0" hidden="1">Sheet!$D$31</definedName>
    <definedName name="solver_lhs15" localSheetId="0" hidden="1">Sheet!$D$32</definedName>
    <definedName name="solver_lhs16" localSheetId="0" hidden="1">Sheet!$D$32</definedName>
    <definedName name="solver_lhs17" localSheetId="0" hidden="1">Sheet!$D$32</definedName>
    <definedName name="solver_lhs18" localSheetId="0" hidden="1">Sheet!$D$41</definedName>
    <definedName name="solver_lhs19" localSheetId="0" hidden="1">Sheet!$D$41</definedName>
    <definedName name="solver_lhs2" localSheetId="0" hidden="1">Sheet!$D$15</definedName>
    <definedName name="solver_lhs20" localSheetId="0" hidden="1">Sheet!$D$43</definedName>
    <definedName name="solver_lhs21" localSheetId="0" hidden="1">Sheet!$D$43</definedName>
    <definedName name="solver_lhs22" localSheetId="0" hidden="1">Sheet!$D$43</definedName>
    <definedName name="solver_lhs23" localSheetId="0" hidden="1">Sheet!$F$18</definedName>
    <definedName name="solver_lhs24" localSheetId="0" hidden="1">Sheet!$F$18</definedName>
    <definedName name="solver_lhs25" localSheetId="0" hidden="1">Sheet!$F$47</definedName>
    <definedName name="solver_lhs26" localSheetId="0" hidden="1">Sheet!$F$78</definedName>
    <definedName name="solver_lhs27" localSheetId="0" hidden="1">Sheet!$G$23</definedName>
    <definedName name="solver_lhs28" localSheetId="0" hidden="1">Sheet!$G$23</definedName>
    <definedName name="solver_lhs29" localSheetId="0" hidden="1">Sheet!$G$23</definedName>
    <definedName name="solver_lhs3" localSheetId="0" hidden="1">Sheet!$D$16</definedName>
    <definedName name="solver_lhs30" localSheetId="0" hidden="1">Sheet!#REF!</definedName>
    <definedName name="solver_lhs31" localSheetId="0" hidden="1">Sheet!$H$11</definedName>
    <definedName name="solver_lhs32" localSheetId="0" hidden="1">Sheet!$H$11</definedName>
    <definedName name="solver_lhs33" localSheetId="0" hidden="1">Sheet!$H$11</definedName>
    <definedName name="solver_lhs34" localSheetId="0" hidden="1">Sheet!$H$11</definedName>
    <definedName name="solver_lhs4" localSheetId="0" hidden="1">Sheet!$D$16</definedName>
    <definedName name="solver_lhs5" localSheetId="0" hidden="1">Sheet!$D$24</definedName>
    <definedName name="solver_lhs6" localSheetId="0" hidden="1">Sheet!$D$24</definedName>
    <definedName name="solver_lhs7" localSheetId="0" hidden="1">Sheet!$D$29</definedName>
    <definedName name="solver_lhs8" localSheetId="0" hidden="1">Sheet!$D$29</definedName>
    <definedName name="solver_lhs9" localSheetId="0" hidden="1">Sheet!$D$30</definedName>
    <definedName name="solver_mip" localSheetId="0" hidden="1">2147483647</definedName>
    <definedName name="solver_mni" localSheetId="0" hidden="1">30</definedName>
    <definedName name="solver_mrt" localSheetId="0" hidden="1">0.075</definedName>
    <definedName name="solver_msl" localSheetId="0" hidden="1">2</definedName>
    <definedName name="solver_neg" localSheetId="0" hidden="1">1</definedName>
    <definedName name="solver_nod" localSheetId="0" hidden="1">2147483647</definedName>
    <definedName name="solver_num" localSheetId="0" hidden="1">33</definedName>
    <definedName name="solver_nwt" localSheetId="0" hidden="1">1</definedName>
    <definedName name="solver_opt" localSheetId="0" hidden="1">Sheet!$F$83</definedName>
    <definedName name="solver_pre" localSheetId="0" hidden="1">0.000001</definedName>
    <definedName name="solver_rbv" localSheetId="0" hidden="1">2</definedName>
    <definedName name="solver_rel1" localSheetId="0" hidden="1">1</definedName>
    <definedName name="solver_rel10" localSheetId="0" hidden="1">4</definedName>
    <definedName name="solver_rel11" localSheetId="0" hidden="1">3</definedName>
    <definedName name="solver_rel12" localSheetId="0" hidden="1">1</definedName>
    <definedName name="solver_rel13" localSheetId="0" hidden="1">4</definedName>
    <definedName name="solver_rel14" localSheetId="0" hidden="1">3</definedName>
    <definedName name="solver_rel15" localSheetId="0" hidden="1">1</definedName>
    <definedName name="solver_rel16" localSheetId="0" hidden="1">4</definedName>
    <definedName name="solver_rel17" localSheetId="0" hidden="1">3</definedName>
    <definedName name="solver_rel18" localSheetId="0" hidden="1">1</definedName>
    <definedName name="solver_rel19" localSheetId="0" hidden="1">3</definedName>
    <definedName name="solver_rel2" localSheetId="0" hidden="1">3</definedName>
    <definedName name="solver_rel20" localSheetId="0" hidden="1">1</definedName>
    <definedName name="solver_rel21" localSheetId="0" hidden="1">4</definedName>
    <definedName name="solver_rel22" localSheetId="0" hidden="1">3</definedName>
    <definedName name="solver_rel23" localSheetId="0" hidden="1">1</definedName>
    <definedName name="solver_rel24" localSheetId="0" hidden="1">3</definedName>
    <definedName name="solver_rel25" localSheetId="0" hidden="1">1</definedName>
    <definedName name="solver_rel26" localSheetId="0" hidden="1">1</definedName>
    <definedName name="solver_rel27" localSheetId="0" hidden="1">1</definedName>
    <definedName name="solver_rel28" localSheetId="0" hidden="1">4</definedName>
    <definedName name="solver_rel29" localSheetId="0" hidden="1">3</definedName>
    <definedName name="solver_rel3" localSheetId="0" hidden="1">1</definedName>
    <definedName name="solver_rel30" localSheetId="0" hidden="1">1</definedName>
    <definedName name="solver_rel31" localSheetId="0" hidden="1">1</definedName>
    <definedName name="solver_rel32" localSheetId="0" hidden="1">4</definedName>
    <definedName name="solver_rel33" localSheetId="0" hidden="1">3</definedName>
    <definedName name="solver_rel34" localSheetId="0" hidden="1">3</definedName>
    <definedName name="solver_rel4" localSheetId="0" hidden="1">3</definedName>
    <definedName name="solver_rel5" localSheetId="0" hidden="1">1</definedName>
    <definedName name="solver_rel6" localSheetId="0" hidden="1">3</definedName>
    <definedName name="solver_rel7" localSheetId="0" hidden="1">1</definedName>
    <definedName name="solver_rel8" localSheetId="0" hidden="1">3</definedName>
    <definedName name="solver_rel9" localSheetId="0" hidden="1">1</definedName>
    <definedName name="solver_rhs1" localSheetId="0" hidden="1">Sheet!#REF!</definedName>
    <definedName name="solver_rhs10" localSheetId="0" hidden="1">Ganzzahlig</definedName>
    <definedName name="solver_rhs11" localSheetId="0" hidden="1">Sheet!#REF!</definedName>
    <definedName name="solver_rhs12" localSheetId="0" hidden="1">Sheet!#REF!</definedName>
    <definedName name="solver_rhs13" localSheetId="0" hidden="1">Ganzzahlig</definedName>
    <definedName name="solver_rhs14" localSheetId="0" hidden="1">Sheet!#REF!</definedName>
    <definedName name="solver_rhs15" localSheetId="0" hidden="1">Sheet!#REF!</definedName>
    <definedName name="solver_rhs16" localSheetId="0" hidden="1">Ganzzahlig</definedName>
    <definedName name="solver_rhs17" localSheetId="0" hidden="1">Sheet!#REF!</definedName>
    <definedName name="solver_rhs18" localSheetId="0" hidden="1">Sheet!#REF!</definedName>
    <definedName name="solver_rhs19" localSheetId="0" hidden="1">Sheet!#REF!</definedName>
    <definedName name="solver_rhs2" localSheetId="0" hidden="1">Sheet!#REF!</definedName>
    <definedName name="solver_rhs20" localSheetId="0" hidden="1">Sheet!#REF!</definedName>
    <definedName name="solver_rhs21" localSheetId="0" hidden="1">Ganzzahlig</definedName>
    <definedName name="solver_rhs22" localSheetId="0" hidden="1">Sheet!#REF!</definedName>
    <definedName name="solver_rhs23" localSheetId="0" hidden="1">Sheet!#REF!</definedName>
    <definedName name="solver_rhs24" localSheetId="0" hidden="1">Sheet!#REF!</definedName>
    <definedName name="solver_rhs25" localSheetId="0" hidden="1">Sheet!#REF!</definedName>
    <definedName name="solver_rhs26" localSheetId="0" hidden="1">Sheet!$G$42</definedName>
    <definedName name="solver_rhs27" localSheetId="0" hidden="1">Sheet!#REF!</definedName>
    <definedName name="solver_rhs28" localSheetId="0" hidden="1">Ganzzahlig</definedName>
    <definedName name="solver_rhs29" localSheetId="0" hidden="1">Sheet!#REF!</definedName>
    <definedName name="solver_rhs3" localSheetId="0" hidden="1">Sheet!#REF!</definedName>
    <definedName name="solver_rhs30" localSheetId="0" hidden="1">Sheet!#REF!</definedName>
    <definedName name="solver_rhs31" localSheetId="0" hidden="1">Sheet!#REF!</definedName>
    <definedName name="solver_rhs32" localSheetId="0" hidden="1">Ganzzahlig</definedName>
    <definedName name="solver_rhs33" localSheetId="0" hidden="1">Sheet!#REF!</definedName>
    <definedName name="solver_rhs34" localSheetId="0" hidden="1">Sheet!#REF!</definedName>
    <definedName name="solver_rhs4" localSheetId="0" hidden="1">Sheet!#REF!</definedName>
    <definedName name="solver_rhs5" localSheetId="0" hidden="1">Sheet!#REF!</definedName>
    <definedName name="solver_rhs6" localSheetId="0" hidden="1">Sheet!#REF!</definedName>
    <definedName name="solver_rhs7" localSheetId="0" hidden="1">Sheet!#REF!</definedName>
    <definedName name="solver_rhs8" localSheetId="0" hidden="1">Sheet!#REF!</definedName>
    <definedName name="solver_rhs9" localSheetId="0" hidden="1">Sheet!#REF!</definedName>
    <definedName name="solver_rlx" localSheetId="0" hidden="1">2</definedName>
    <definedName name="solver_rsd" localSheetId="0" hidden="1">0</definedName>
    <definedName name="solver_scl" localSheetId="0" hidden="1">2</definedName>
    <definedName name="solver_sho" localSheetId="0" hidden="1">2</definedName>
    <definedName name="solver_ssz" localSheetId="0" hidden="1">100</definedName>
    <definedName name="solver_tim" localSheetId="0" hidden="1">2147483647</definedName>
    <definedName name="solver_tol" localSheetId="0" hidden="1">0.01</definedName>
    <definedName name="solver_typ" localSheetId="0" hidden="1">1</definedName>
    <definedName name="solver_val" localSheetId="0" hidden="1">0</definedName>
    <definedName name="solver_ver" localSheetId="0" hidden="1">3</definedName>
  </definedNames>
  <calcPr calcId="145621"/>
</workbook>
</file>

<file path=xl/calcChain.xml><?xml version="1.0" encoding="utf-8"?>
<calcChain xmlns="http://schemas.openxmlformats.org/spreadsheetml/2006/main">
  <c r="E41" i="1" l="1"/>
  <c r="G41" i="1" s="1"/>
  <c r="B29" i="7" l="1"/>
  <c r="B28" i="7"/>
  <c r="B27" i="7"/>
  <c r="B26" i="7"/>
  <c r="B25" i="7"/>
  <c r="B24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8" i="7"/>
  <c r="E7" i="7"/>
  <c r="E8" i="7" s="1"/>
  <c r="B7" i="7"/>
  <c r="B8" i="5"/>
  <c r="B9" i="5"/>
  <c r="B10" i="5"/>
  <c r="B11" i="5"/>
  <c r="B12" i="5"/>
  <c r="B13" i="5"/>
  <c r="B14" i="5"/>
  <c r="B15" i="5"/>
  <c r="B16" i="5"/>
  <c r="B17" i="5"/>
  <c r="B18" i="5"/>
  <c r="B19" i="5"/>
  <c r="B20" i="5"/>
  <c r="B21" i="5"/>
  <c r="B22" i="5"/>
  <c r="B23" i="5"/>
  <c r="B24" i="5"/>
  <c r="B25" i="5"/>
  <c r="B26" i="5"/>
  <c r="B27" i="5"/>
  <c r="B28" i="5"/>
  <c r="B29" i="5"/>
  <c r="B7" i="5"/>
  <c r="G42" i="1"/>
  <c r="E7" i="5"/>
  <c r="E8" i="5" s="1"/>
  <c r="E9" i="5" s="1"/>
  <c r="E10" i="5" s="1"/>
  <c r="E11" i="5" s="1"/>
  <c r="E12" i="5" s="1"/>
  <c r="F75" i="1"/>
  <c r="F50" i="1"/>
  <c r="F5" i="1"/>
  <c r="F7" i="1" s="1"/>
  <c r="F90" i="1"/>
  <c r="D80" i="1"/>
  <c r="F25" i="1"/>
  <c r="F18" i="1"/>
  <c r="F19" i="1"/>
  <c r="F11" i="1" l="1"/>
  <c r="E9" i="7"/>
  <c r="F35" i="1"/>
  <c r="F47" i="1" s="1"/>
  <c r="F37" i="1"/>
  <c r="C11" i="7" s="1"/>
  <c r="D11" i="7" s="1"/>
  <c r="E13" i="5"/>
  <c r="C12" i="7" l="1"/>
  <c r="D12" i="7" s="1"/>
  <c r="F12" i="1"/>
  <c r="F14" i="1"/>
  <c r="C20" i="7"/>
  <c r="D20" i="7" s="1"/>
  <c r="C15" i="7"/>
  <c r="D15" i="7" s="1"/>
  <c r="C23" i="7"/>
  <c r="D23" i="7" s="1"/>
  <c r="C25" i="5"/>
  <c r="C27" i="7"/>
  <c r="D27" i="7" s="1"/>
  <c r="C8" i="7"/>
  <c r="D8" i="7" s="1"/>
  <c r="C24" i="7"/>
  <c r="D24" i="7" s="1"/>
  <c r="C14" i="5"/>
  <c r="C7" i="5"/>
  <c r="C9" i="7"/>
  <c r="D9" i="7" s="1"/>
  <c r="C25" i="7"/>
  <c r="D25" i="7" s="1"/>
  <c r="C14" i="7"/>
  <c r="D14" i="7" s="1"/>
  <c r="C7" i="7"/>
  <c r="D7" i="7" s="1"/>
  <c r="C20" i="5"/>
  <c r="C17" i="5"/>
  <c r="C28" i="7"/>
  <c r="D28" i="7" s="1"/>
  <c r="C18" i="5"/>
  <c r="C11" i="5"/>
  <c r="C13" i="7"/>
  <c r="D13" i="7" s="1"/>
  <c r="C29" i="7"/>
  <c r="D29" i="7" s="1"/>
  <c r="C15" i="5"/>
  <c r="C18" i="7"/>
  <c r="D18" i="7" s="1"/>
  <c r="C8" i="5"/>
  <c r="C24" i="5"/>
  <c r="C21" i="5"/>
  <c r="C19" i="7"/>
  <c r="D19" i="7" s="1"/>
  <c r="C13" i="5"/>
  <c r="C16" i="7"/>
  <c r="D16" i="7" s="1"/>
  <c r="C22" i="5"/>
  <c r="C19" i="5"/>
  <c r="C17" i="7"/>
  <c r="D17" i="7" s="1"/>
  <c r="C23" i="5"/>
  <c r="C22" i="7"/>
  <c r="D22" i="7" s="1"/>
  <c r="C12" i="5"/>
  <c r="C28" i="5"/>
  <c r="D28" i="5" s="1"/>
  <c r="C29" i="5"/>
  <c r="D29" i="5" s="1"/>
  <c r="C10" i="5"/>
  <c r="C26" i="5"/>
  <c r="C27" i="5"/>
  <c r="C21" i="7"/>
  <c r="D21" i="7" s="1"/>
  <c r="C10" i="7"/>
  <c r="D10" i="7" s="1"/>
  <c r="C26" i="7"/>
  <c r="D26" i="7" s="1"/>
  <c r="C16" i="5"/>
  <c r="C9" i="5"/>
  <c r="E10" i="7"/>
  <c r="F55" i="1"/>
  <c r="F57" i="1" s="1"/>
  <c r="F76" i="1"/>
  <c r="F77" i="1" s="1"/>
  <c r="F49" i="1"/>
  <c r="F91" i="1"/>
  <c r="F92" i="1" s="1"/>
  <c r="F59" i="1"/>
  <c r="F61" i="1" s="1"/>
  <c r="E14" i="5"/>
  <c r="E11" i="7" l="1"/>
  <c r="F69" i="1"/>
  <c r="F13" i="7" s="1"/>
  <c r="F60" i="1"/>
  <c r="F67" i="1"/>
  <c r="F56" i="1"/>
  <c r="E15" i="5"/>
  <c r="F29" i="7" l="1"/>
  <c r="G29" i="7" s="1"/>
  <c r="F18" i="7"/>
  <c r="G18" i="7" s="1"/>
  <c r="F27" i="7"/>
  <c r="H27" i="7" s="1"/>
  <c r="F24" i="7"/>
  <c r="H24" i="7" s="1"/>
  <c r="F16" i="7"/>
  <c r="G16" i="7" s="1"/>
  <c r="F9" i="7"/>
  <c r="H9" i="7" s="1"/>
  <c r="F22" i="7"/>
  <c r="G22" i="7" s="1"/>
  <c r="F93" i="1"/>
  <c r="F94" i="1" s="1"/>
  <c r="F20" i="7"/>
  <c r="F26" i="7"/>
  <c r="F28" i="7"/>
  <c r="F11" i="7"/>
  <c r="F15" i="7"/>
  <c r="F23" i="7"/>
  <c r="F12" i="7"/>
  <c r="F14" i="7"/>
  <c r="F7" i="7"/>
  <c r="F8" i="7"/>
  <c r="F25" i="7"/>
  <c r="G13" i="7"/>
  <c r="H13" i="7"/>
  <c r="F29" i="5"/>
  <c r="F28" i="5"/>
  <c r="F21" i="7"/>
  <c r="F10" i="7"/>
  <c r="F19" i="7"/>
  <c r="F17" i="7"/>
  <c r="E12" i="7"/>
  <c r="F78" i="1"/>
  <c r="F79" i="1" s="1"/>
  <c r="E16" i="5"/>
  <c r="G9" i="7" l="1"/>
  <c r="I9" i="7" s="1"/>
  <c r="J9" i="7" s="1"/>
  <c r="L9" i="7" s="1"/>
  <c r="G24" i="7"/>
  <c r="I24" i="7" s="1"/>
  <c r="J24" i="7" s="1"/>
  <c r="L24" i="7" s="1"/>
  <c r="H18" i="7"/>
  <c r="I18" i="7" s="1"/>
  <c r="J18" i="7" s="1"/>
  <c r="L18" i="7" s="1"/>
  <c r="H16" i="7"/>
  <c r="I16" i="7" s="1"/>
  <c r="J16" i="7" s="1"/>
  <c r="L16" i="7" s="1"/>
  <c r="H29" i="7"/>
  <c r="I29" i="7" s="1"/>
  <c r="J29" i="7" s="1"/>
  <c r="L29" i="7" s="1"/>
  <c r="K9" i="7"/>
  <c r="F97" i="1"/>
  <c r="F98" i="1" s="1"/>
  <c r="G27" i="7"/>
  <c r="I27" i="7" s="1"/>
  <c r="J27" i="7" s="1"/>
  <c r="L27" i="7" s="1"/>
  <c r="H22" i="7"/>
  <c r="I22" i="7" s="1"/>
  <c r="J22" i="7" s="1"/>
  <c r="L22" i="7" s="1"/>
  <c r="I13" i="7"/>
  <c r="J13" i="7" s="1"/>
  <c r="L13" i="7" s="1"/>
  <c r="G14" i="7"/>
  <c r="H14" i="7"/>
  <c r="G11" i="7"/>
  <c r="H11" i="7"/>
  <c r="F96" i="1"/>
  <c r="G17" i="7"/>
  <c r="H17" i="7"/>
  <c r="G25" i="7"/>
  <c r="H25" i="7"/>
  <c r="G12" i="7"/>
  <c r="H12" i="7"/>
  <c r="G28" i="7"/>
  <c r="H28" i="7"/>
  <c r="G23" i="7"/>
  <c r="H23" i="7"/>
  <c r="G26" i="7"/>
  <c r="H26" i="7"/>
  <c r="G19" i="7"/>
  <c r="H19" i="7"/>
  <c r="G8" i="7"/>
  <c r="K8" i="7"/>
  <c r="H8" i="7"/>
  <c r="K11" i="7"/>
  <c r="G10" i="7"/>
  <c r="H10" i="7"/>
  <c r="K10" i="7"/>
  <c r="H7" i="7"/>
  <c r="G7" i="7"/>
  <c r="K7" i="7"/>
  <c r="G15" i="7"/>
  <c r="H15" i="7"/>
  <c r="G20" i="7"/>
  <c r="H20" i="7"/>
  <c r="G21" i="7"/>
  <c r="H21" i="7"/>
  <c r="F81" i="1"/>
  <c r="F80" i="1"/>
  <c r="K12" i="7"/>
  <c r="E13" i="7"/>
  <c r="F82" i="1"/>
  <c r="F83" i="1" s="1"/>
  <c r="F84" i="1" s="1"/>
  <c r="F95" i="1"/>
  <c r="F101" i="1" s="1"/>
  <c r="E17" i="5"/>
  <c r="I17" i="7" l="1"/>
  <c r="J17" i="7" s="1"/>
  <c r="L17" i="7" s="1"/>
  <c r="I8" i="7"/>
  <c r="J8" i="7" s="1"/>
  <c r="L8" i="7" s="1"/>
  <c r="I15" i="7"/>
  <c r="J15" i="7" s="1"/>
  <c r="L15" i="7" s="1"/>
  <c r="I7" i="7"/>
  <c r="J7" i="7" s="1"/>
  <c r="L7" i="7" s="1"/>
  <c r="I10" i="7"/>
  <c r="J10" i="7" s="1"/>
  <c r="L10" i="7" s="1"/>
  <c r="I26" i="7"/>
  <c r="J26" i="7" s="1"/>
  <c r="L26" i="7" s="1"/>
  <c r="I12" i="7"/>
  <c r="J12" i="7" s="1"/>
  <c r="L12" i="7" s="1"/>
  <c r="I11" i="7"/>
  <c r="J11" i="7" s="1"/>
  <c r="L11" i="7" s="1"/>
  <c r="I21" i="7"/>
  <c r="J21" i="7" s="1"/>
  <c r="L21" i="7" s="1"/>
  <c r="I20" i="7"/>
  <c r="J20" i="7" s="1"/>
  <c r="L20" i="7" s="1"/>
  <c r="I19" i="7"/>
  <c r="J19" i="7" s="1"/>
  <c r="L19" i="7" s="1"/>
  <c r="I23" i="7"/>
  <c r="I28" i="7"/>
  <c r="J28" i="7" s="1"/>
  <c r="L28" i="7" s="1"/>
  <c r="I25" i="7"/>
  <c r="J25" i="7" s="1"/>
  <c r="L25" i="7" s="1"/>
  <c r="I14" i="7"/>
  <c r="J14" i="7" s="1"/>
  <c r="L14" i="7" s="1"/>
  <c r="E14" i="7"/>
  <c r="K13" i="7"/>
  <c r="F100" i="1"/>
  <c r="F99" i="1"/>
  <c r="E18" i="5"/>
  <c r="J23" i="7" l="1"/>
  <c r="L23" i="7" s="1"/>
  <c r="E15" i="7"/>
  <c r="K14" i="7"/>
  <c r="F85" i="1"/>
  <c r="F86" i="1"/>
  <c r="E19" i="5"/>
  <c r="E16" i="7" l="1"/>
  <c r="K15" i="7"/>
  <c r="E20" i="5"/>
  <c r="K16" i="7" l="1"/>
  <c r="E17" i="7"/>
  <c r="E21" i="5"/>
  <c r="E18" i="7" l="1"/>
  <c r="K17" i="7"/>
  <c r="E22" i="5"/>
  <c r="E19" i="7" l="1"/>
  <c r="K18" i="7"/>
  <c r="E23" i="5"/>
  <c r="E20" i="7" l="1"/>
  <c r="K19" i="7"/>
  <c r="E24" i="5"/>
  <c r="K20" i="7" l="1"/>
  <c r="E21" i="7"/>
  <c r="E25" i="5"/>
  <c r="E22" i="7" l="1"/>
  <c r="K21" i="7"/>
  <c r="E26" i="5"/>
  <c r="E23" i="7" l="1"/>
  <c r="K22" i="7"/>
  <c r="E27" i="5"/>
  <c r="E24" i="7" l="1"/>
  <c r="K23" i="7"/>
  <c r="E28" i="5"/>
  <c r="K24" i="7" l="1"/>
  <c r="E25" i="7"/>
  <c r="E29" i="5"/>
  <c r="E26" i="7" l="1"/>
  <c r="K25" i="7"/>
  <c r="H28" i="5"/>
  <c r="D26" i="5" s="1"/>
  <c r="F26" i="5" s="1"/>
  <c r="G28" i="5"/>
  <c r="K28" i="5"/>
  <c r="E27" i="7" l="1"/>
  <c r="K26" i="7"/>
  <c r="H26" i="5"/>
  <c r="G26" i="5"/>
  <c r="K26" i="5"/>
  <c r="H29" i="5"/>
  <c r="D27" i="5" s="1"/>
  <c r="F27" i="5" s="1"/>
  <c r="G29" i="5"/>
  <c r="I28" i="5"/>
  <c r="J28" i="5" s="1"/>
  <c r="L28" i="5" s="1"/>
  <c r="K29" i="5"/>
  <c r="E28" i="7" l="1"/>
  <c r="K27" i="7"/>
  <c r="D24" i="5"/>
  <c r="F24" i="5" s="1"/>
  <c r="I26" i="5"/>
  <c r="J26" i="5" s="1"/>
  <c r="L26" i="5" s="1"/>
  <c r="H27" i="5"/>
  <c r="G27" i="5"/>
  <c r="K27" i="5"/>
  <c r="I29" i="5"/>
  <c r="J29" i="5" l="1"/>
  <c r="L29" i="5" s="1"/>
  <c r="K28" i="7"/>
  <c r="E29" i="7"/>
  <c r="K29" i="7" s="1"/>
  <c r="H24" i="5"/>
  <c r="G24" i="5"/>
  <c r="K24" i="5"/>
  <c r="D25" i="5"/>
  <c r="F25" i="5" s="1"/>
  <c r="I27" i="5"/>
  <c r="J27" i="5" s="1"/>
  <c r="L27" i="5" s="1"/>
  <c r="H25" i="5" l="1"/>
  <c r="G25" i="5"/>
  <c r="K25" i="5"/>
  <c r="D22" i="5"/>
  <c r="F22" i="5" s="1"/>
  <c r="I24" i="5"/>
  <c r="J24" i="5" s="1"/>
  <c r="L24" i="5" s="1"/>
  <c r="H22" i="5" l="1"/>
  <c r="G22" i="5"/>
  <c r="K22" i="5"/>
  <c r="D23" i="5"/>
  <c r="F23" i="5" s="1"/>
  <c r="I25" i="5"/>
  <c r="J25" i="5" s="1"/>
  <c r="L25" i="5" s="1"/>
  <c r="H23" i="5" l="1"/>
  <c r="G23" i="5"/>
  <c r="K23" i="5"/>
  <c r="D20" i="5"/>
  <c r="F20" i="5" s="1"/>
  <c r="I22" i="5"/>
  <c r="J22" i="5" s="1"/>
  <c r="L22" i="5" s="1"/>
  <c r="G20" i="5" l="1"/>
  <c r="H20" i="5"/>
  <c r="K20" i="5"/>
  <c r="D21" i="5"/>
  <c r="F21" i="5" s="1"/>
  <c r="I23" i="5"/>
  <c r="J23" i="5" s="1"/>
  <c r="L23" i="5" s="1"/>
  <c r="H21" i="5" l="1"/>
  <c r="G21" i="5"/>
  <c r="K21" i="5"/>
  <c r="I20" i="5"/>
  <c r="J20" i="5" s="1"/>
  <c r="L20" i="5" s="1"/>
  <c r="D18" i="5"/>
  <c r="F18" i="5" s="1"/>
  <c r="H18" i="5" l="1"/>
  <c r="G18" i="5"/>
  <c r="K18" i="5"/>
  <c r="D19" i="5"/>
  <c r="F19" i="5" s="1"/>
  <c r="I21" i="5"/>
  <c r="J21" i="5" s="1"/>
  <c r="L21" i="5" s="1"/>
  <c r="H19" i="5" l="1"/>
  <c r="G19" i="5"/>
  <c r="K19" i="5"/>
  <c r="D16" i="5"/>
  <c r="F16" i="5" s="1"/>
  <c r="I18" i="5"/>
  <c r="J18" i="5" s="1"/>
  <c r="L18" i="5" s="1"/>
  <c r="G16" i="5" l="1"/>
  <c r="K16" i="5"/>
  <c r="H16" i="5"/>
  <c r="D17" i="5"/>
  <c r="F17" i="5" s="1"/>
  <c r="I19" i="5"/>
  <c r="J19" i="5" s="1"/>
  <c r="L19" i="5" s="1"/>
  <c r="G17" i="5" l="1"/>
  <c r="H17" i="5"/>
  <c r="K17" i="5"/>
  <c r="D14" i="5"/>
  <c r="F14" i="5" s="1"/>
  <c r="I16" i="5"/>
  <c r="J16" i="5" s="1"/>
  <c r="L16" i="5" s="1"/>
  <c r="G14" i="5" l="1"/>
  <c r="K14" i="5"/>
  <c r="H14" i="5"/>
  <c r="D15" i="5"/>
  <c r="F15" i="5" s="1"/>
  <c r="I17" i="5"/>
  <c r="J17" i="5" s="1"/>
  <c r="L17" i="5" s="1"/>
  <c r="G15" i="5" l="1"/>
  <c r="K15" i="5"/>
  <c r="H15" i="5"/>
  <c r="D12" i="5"/>
  <c r="F12" i="5" s="1"/>
  <c r="I14" i="5"/>
  <c r="J14" i="5" s="1"/>
  <c r="L14" i="5" s="1"/>
  <c r="K12" i="5" l="1"/>
  <c r="G12" i="5"/>
  <c r="H12" i="5"/>
  <c r="D13" i="5"/>
  <c r="F13" i="5" s="1"/>
  <c r="G13" i="5" s="1"/>
  <c r="I15" i="5"/>
  <c r="J15" i="5" s="1"/>
  <c r="L15" i="5" s="1"/>
  <c r="K13" i="5" l="1"/>
  <c r="H13" i="5"/>
  <c r="D10" i="5"/>
  <c r="F10" i="5" s="1"/>
  <c r="I12" i="5"/>
  <c r="J12" i="5" s="1"/>
  <c r="L12" i="5" s="1"/>
  <c r="G10" i="5" l="1"/>
  <c r="H10" i="5"/>
  <c r="K10" i="5"/>
  <c r="D11" i="5"/>
  <c r="F11" i="5" s="1"/>
  <c r="I13" i="5"/>
  <c r="J13" i="5" s="1"/>
  <c r="L13" i="5" s="1"/>
  <c r="H11" i="5" l="1"/>
  <c r="G11" i="5"/>
  <c r="K11" i="5"/>
  <c r="D8" i="5"/>
  <c r="F8" i="5" s="1"/>
  <c r="I10" i="5"/>
  <c r="J10" i="5" s="1"/>
  <c r="L10" i="5" s="1"/>
  <c r="G8" i="5" l="1"/>
  <c r="H8" i="5"/>
  <c r="K8" i="5"/>
  <c r="D9" i="5"/>
  <c r="F9" i="5" s="1"/>
  <c r="I11" i="5"/>
  <c r="J11" i="5" s="1"/>
  <c r="L11" i="5" s="1"/>
  <c r="G9" i="5" l="1"/>
  <c r="H9" i="5"/>
  <c r="K9" i="5"/>
  <c r="I8" i="5"/>
  <c r="J8" i="5" s="1"/>
  <c r="L8" i="5" s="1"/>
  <c r="D7" i="5" l="1"/>
  <c r="F7" i="5" s="1"/>
  <c r="G7" i="5" s="1"/>
  <c r="I9" i="5"/>
  <c r="J9" i="5" s="1"/>
  <c r="L9" i="5" s="1"/>
  <c r="K7" i="5" l="1"/>
  <c r="H7" i="5"/>
  <c r="I7" i="5" s="1"/>
  <c r="J7" i="5" l="1"/>
  <c r="L7" i="5" s="1"/>
</calcChain>
</file>

<file path=xl/sharedStrings.xml><?xml version="1.0" encoding="utf-8"?>
<sst xmlns="http://schemas.openxmlformats.org/spreadsheetml/2006/main" count="241" uniqueCount="147">
  <si>
    <t>Scheibengenerator Berechnung V1.7</t>
  </si>
  <si>
    <t>1. Ladebeginn ausrechnen:</t>
  </si>
  <si>
    <t>Variablen einsetzen:</t>
  </si>
  <si>
    <t>Resultate:</t>
  </si>
  <si>
    <t>Einheit:</t>
  </si>
  <si>
    <t>Schnellaufzahl</t>
  </si>
  <si>
    <t>1. TSR (n)</t>
  </si>
  <si>
    <t>Umdrehungen/Minute</t>
  </si>
  <si>
    <t>RPM ( U / min)</t>
  </si>
  <si>
    <t>Windgeschw. (NUR für Ladebeginn)</t>
  </si>
  <si>
    <t>2. V (m/s)</t>
  </si>
  <si>
    <t>Durchmesser</t>
  </si>
  <si>
    <t>3. D (m)</t>
  </si>
  <si>
    <t>Umdrehungen/Sekunde</t>
  </si>
  <si>
    <t>RPS ( U / Sek)</t>
  </si>
  <si>
    <t>2. Geschwindigkeit der Spulen:</t>
  </si>
  <si>
    <t>Anzahl Spulen</t>
  </si>
  <si>
    <t>1. Spulen (n)</t>
  </si>
  <si>
    <t>Umfang in Loch-Mitte</t>
  </si>
  <si>
    <t>m</t>
  </si>
  <si>
    <t>Maße der Spule</t>
  </si>
  <si>
    <t>&gt; Radius bei Lochmitte</t>
  </si>
  <si>
    <t>mm</t>
  </si>
  <si>
    <t>Spulenlochlänge</t>
  </si>
  <si>
    <t>2. Länge(mm)</t>
  </si>
  <si>
    <t>Spulenlochbreite aussen</t>
  </si>
  <si>
    <t>3. Breite(mm)</t>
  </si>
  <si>
    <t>Geschw. In Mitte Spulenlöcher</t>
  </si>
  <si>
    <t>m/s</t>
  </si>
  <si>
    <t>Spulenlochbreite innen</t>
  </si>
  <si>
    <t>4. Breite(mm)</t>
  </si>
  <si>
    <t>Schenkelbreite (von oben gesehen)</t>
  </si>
  <si>
    <t>5. Breite(mm)</t>
  </si>
  <si>
    <t>Abstand zw. Spulen</t>
  </si>
  <si>
    <t>6. Abstand (mm)</t>
  </si>
  <si>
    <t>Abstand Spulenende zu Statorrand</t>
  </si>
  <si>
    <t xml:space="preserve">7. Abstand (mm) </t>
  </si>
  <si>
    <t>Statordurchmesser</t>
  </si>
  <si>
    <t>cm</t>
  </si>
  <si>
    <t>Magnetscheibendurchmesser</t>
  </si>
  <si>
    <t>(Nur Annäherungswerte)</t>
  </si>
  <si>
    <t>3. Magnetische Flussdichte:</t>
  </si>
  <si>
    <t>N52</t>
  </si>
  <si>
    <t>N50</t>
  </si>
  <si>
    <t>Dicke Magnet</t>
  </si>
  <si>
    <t>1. Dicke (mm)</t>
  </si>
  <si>
    <t>N48</t>
  </si>
  <si>
    <t>Luftspalt zwischen Magneten</t>
  </si>
  <si>
    <t>2. Abstand (mm)</t>
  </si>
  <si>
    <t>&gt;&gt; Max 2xMagnetdicke !</t>
  </si>
  <si>
    <t>N45</t>
  </si>
  <si>
    <t>Magnetische Flussdichte:</t>
  </si>
  <si>
    <t>Tesla</t>
  </si>
  <si>
    <t>N42</t>
  </si>
  <si>
    <t>N40</t>
  </si>
  <si>
    <t>4. Anzahl der benötigten Wicklungen:</t>
  </si>
  <si>
    <t>Systemspannung (12V,24V,48V,240V,...)</t>
  </si>
  <si>
    <t>1. Spannung (Volt)</t>
  </si>
  <si>
    <t>Breite Magnet</t>
  </si>
  <si>
    <t>Länge Magnet</t>
  </si>
  <si>
    <t>4. Länge(mm)</t>
  </si>
  <si>
    <t>Anzahl Magnet-Pole</t>
  </si>
  <si>
    <t>5. Magnetpole (n)</t>
  </si>
  <si>
    <t>Anzahl Phasen</t>
  </si>
  <si>
    <t>6. Phasen (n)</t>
  </si>
  <si>
    <t>a) Sternschaltung (Y)</t>
  </si>
  <si>
    <t>Anzahl Wicklungen/Spule</t>
  </si>
  <si>
    <t>Wicklungen</t>
  </si>
  <si>
    <t>b) Dreieckschaltung (D)</t>
  </si>
  <si>
    <t>5. Spulenschenkeldicke (Höhe)</t>
  </si>
  <si>
    <t>Drahtdurchmesser</t>
  </si>
  <si>
    <t>1. D (mm)</t>
  </si>
  <si>
    <t>Packdichte</t>
  </si>
  <si>
    <t>2. Dichte(Faktor)</t>
  </si>
  <si>
    <t>Drähte in Hand</t>
  </si>
  <si>
    <t>3. Anzahl (n)</t>
  </si>
  <si>
    <t>Schichtdicke Laminat über den Spulen</t>
  </si>
  <si>
    <t>4. Dicke (mm)</t>
  </si>
  <si>
    <t>(je Statorseite)</t>
  </si>
  <si>
    <t>Ohm</t>
  </si>
  <si>
    <t>Abstand zwischen Stator und Magneten</t>
  </si>
  <si>
    <t>5. Abstand (mm)</t>
  </si>
  <si>
    <t>U/min</t>
  </si>
  <si>
    <t>Dicke(Höhe)</t>
  </si>
  <si>
    <t>V</t>
  </si>
  <si>
    <t>wenn rot, dann zu dick !</t>
  </si>
  <si>
    <t>Strom</t>
  </si>
  <si>
    <t>A</t>
  </si>
  <si>
    <t>Leistung Rotor</t>
  </si>
  <si>
    <t>Dicke(Höhe) max.</t>
  </si>
  <si>
    <t>6. Drahtlänge:</t>
  </si>
  <si>
    <t>%</t>
  </si>
  <si>
    <t>Drahtlänge/Spule</t>
  </si>
  <si>
    <t>Gesamtlänge aller Spulen</t>
  </si>
  <si>
    <t>Gesamtgewicht aller Spulen</t>
  </si>
  <si>
    <t>g</t>
  </si>
  <si>
    <t>7. Innenwiderstand</t>
  </si>
  <si>
    <t>Spezifischer Widerstand des Drahtes</t>
  </si>
  <si>
    <t>1. Widerstand (ohm)</t>
  </si>
  <si>
    <t>Gesamtinnenwiderstand</t>
  </si>
  <si>
    <t>8. Leistung / Wirkungsgrad:</t>
  </si>
  <si>
    <t>(gilt nur für den Fall von Batterieladung)</t>
  </si>
  <si>
    <t>Luftdichte</t>
  </si>
  <si>
    <t>Kg/m' 3</t>
  </si>
  <si>
    <t>Watt</t>
  </si>
  <si>
    <t>Rotorwirkungsgrad</t>
  </si>
  <si>
    <t>Ladestrom vor Gleichrichter</t>
  </si>
  <si>
    <t>Spannungsabfall Gleichrichter</t>
  </si>
  <si>
    <t>Leistung Generator</t>
  </si>
  <si>
    <t>Windgeschwindigkeit (für Leistungsber.)</t>
  </si>
  <si>
    <t>Wirkungsgrad Generator</t>
  </si>
  <si>
    <t>Verlustleistung Generator</t>
  </si>
  <si>
    <t>Verluste durch Gleichrichter</t>
  </si>
  <si>
    <t>Ladeleistung an Batterie</t>
  </si>
  <si>
    <t>Ladestrom nach Gleichrichter</t>
  </si>
  <si>
    <t>Wirk-grad Gen +Gleichrichter</t>
  </si>
  <si>
    <t>Gesamtwirkungsgrad Anlage</t>
  </si>
  <si>
    <t>Wirbelstromverluste</t>
  </si>
  <si>
    <t>Leistung</t>
  </si>
  <si>
    <t>Leistung inkl. Wirbelströme</t>
  </si>
  <si>
    <t>Drehzahl bei Windgeschwindigkeit</t>
  </si>
  <si>
    <t>[m/s]</t>
  </si>
  <si>
    <t>[W]</t>
  </si>
  <si>
    <t>Wingeschw.</t>
  </si>
  <si>
    <t>Verlust Wirbels.</t>
  </si>
  <si>
    <t>[V]</t>
  </si>
  <si>
    <t>[A]</t>
  </si>
  <si>
    <t>Berechnungen bei Sternschaltung</t>
  </si>
  <si>
    <t>Batteriespannung</t>
  </si>
  <si>
    <t>Pv Geni</t>
  </si>
  <si>
    <t>Pmech</t>
  </si>
  <si>
    <t>Pv Gleichrichter</t>
  </si>
  <si>
    <t>Plade</t>
  </si>
  <si>
    <t>Pv Gesamt</t>
  </si>
  <si>
    <t>p% Geni</t>
  </si>
  <si>
    <t>[%]</t>
  </si>
  <si>
    <t>p% Gesamt</t>
  </si>
  <si>
    <t>Querschnitt</t>
  </si>
  <si>
    <t>zulässige Stromdichte [A/mm²]</t>
  </si>
  <si>
    <t>max. Strom</t>
  </si>
  <si>
    <t>AC</t>
  </si>
  <si>
    <t>DC</t>
  </si>
  <si>
    <t>parallel</t>
  </si>
  <si>
    <t>nicht mehr als Feld G 41!</t>
  </si>
  <si>
    <t>wirklich so hoch?</t>
  </si>
  <si>
    <t>Remanenz Magnet</t>
  </si>
  <si>
    <t xml:space="preserve">3. Tesla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</si>
</sst>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14" x14ac:knownFonts="1"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0"/>
      <color indexed="9"/>
      <name val="Arial"/>
      <family val="2"/>
    </font>
    <font>
      <sz val="10"/>
      <color indexed="9"/>
      <name val="Arial"/>
      <family val="2"/>
    </font>
    <font>
      <b/>
      <sz val="8"/>
      <name val="Arial"/>
      <family val="2"/>
    </font>
    <font>
      <b/>
      <sz val="10"/>
      <color indexed="16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sz val="20"/>
      <name val="Arial"/>
      <family val="2"/>
    </font>
    <font>
      <b/>
      <sz val="10"/>
      <color rgb="FFFF0000"/>
      <name val="Arial"/>
      <family val="2"/>
    </font>
    <font>
      <u/>
      <sz val="10"/>
      <color theme="10"/>
      <name val="Arial"/>
      <family val="2"/>
    </font>
    <font>
      <b/>
      <sz val="10"/>
      <color theme="0"/>
      <name val="Arial"/>
      <family val="2"/>
    </font>
    <font>
      <sz val="10"/>
      <color theme="1" tint="0.499984740745262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8"/>
        <bgColor indexed="58"/>
      </patternFill>
    </fill>
    <fill>
      <patternFill patternType="solid">
        <fgColor indexed="50"/>
        <bgColor indexed="51"/>
      </patternFill>
    </fill>
    <fill>
      <patternFill patternType="solid">
        <fgColor indexed="9"/>
        <bgColor indexed="26"/>
      </patternFill>
    </fill>
    <fill>
      <patternFill patternType="solid">
        <fgColor indexed="52"/>
        <bgColor indexed="53"/>
      </patternFill>
    </fill>
    <fill>
      <patternFill patternType="solid">
        <fgColor indexed="43"/>
        <bgColor indexed="26"/>
      </patternFill>
    </fill>
    <fill>
      <patternFill patternType="solid">
        <fgColor indexed="15"/>
        <bgColor indexed="35"/>
      </patternFill>
    </fill>
    <fill>
      <patternFill patternType="solid">
        <fgColor indexed="55"/>
        <bgColor indexed="23"/>
      </patternFill>
    </fill>
    <fill>
      <patternFill patternType="solid">
        <fgColor indexed="47"/>
        <bgColor indexed="22"/>
      </patternFill>
    </fill>
    <fill>
      <patternFill patternType="solid">
        <fgColor indexed="52"/>
        <bgColor indexed="51"/>
      </patternFill>
    </fill>
    <fill>
      <patternFill patternType="solid">
        <fgColor rgb="FFFFFF00"/>
        <bgColor indexed="51"/>
      </patternFill>
    </fill>
  </fills>
  <borders count="48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/>
      <right/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/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153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Fill="1"/>
    <xf numFmtId="0" fontId="3" fillId="2" borderId="1" xfId="0" applyFont="1" applyFill="1" applyBorder="1"/>
    <xf numFmtId="0" fontId="1" fillId="3" borderId="2" xfId="0" applyFont="1" applyFill="1" applyBorder="1"/>
    <xf numFmtId="0" fontId="0" fillId="3" borderId="3" xfId="0" applyFill="1" applyBorder="1"/>
    <xf numFmtId="0" fontId="0" fillId="4" borderId="4" xfId="0" applyFill="1" applyBorder="1"/>
    <xf numFmtId="0" fontId="1" fillId="5" borderId="5" xfId="0" applyFont="1" applyFill="1" applyBorder="1"/>
    <xf numFmtId="0" fontId="0" fillId="4" borderId="6" xfId="0" applyFont="1" applyFill="1" applyBorder="1"/>
    <xf numFmtId="0" fontId="0" fillId="4" borderId="7" xfId="0" applyFill="1" applyBorder="1"/>
    <xf numFmtId="0" fontId="0" fillId="4" borderId="8" xfId="0" applyFill="1" applyBorder="1"/>
    <xf numFmtId="0" fontId="0" fillId="4" borderId="0" xfId="0" applyFill="1"/>
    <xf numFmtId="0" fontId="0" fillId="4" borderId="9" xfId="0" applyFill="1" applyBorder="1"/>
    <xf numFmtId="0" fontId="0" fillId="4" borderId="10" xfId="0" applyFont="1" applyFill="1" applyBorder="1"/>
    <xf numFmtId="0" fontId="1" fillId="3" borderId="11" xfId="0" applyFont="1" applyFill="1" applyBorder="1"/>
    <xf numFmtId="0" fontId="0" fillId="4" borderId="0" xfId="0" applyFont="1" applyFill="1" applyAlignment="1">
      <alignment horizontal="right"/>
    </xf>
    <xf numFmtId="0" fontId="1" fillId="3" borderId="13" xfId="0" applyFont="1" applyFill="1" applyBorder="1"/>
    <xf numFmtId="0" fontId="0" fillId="4" borderId="14" xfId="0" applyFont="1" applyFill="1" applyBorder="1"/>
    <xf numFmtId="0" fontId="1" fillId="3" borderId="15" xfId="0" applyFont="1" applyFill="1" applyBorder="1"/>
    <xf numFmtId="2" fontId="0" fillId="5" borderId="12" xfId="0" applyNumberFormat="1" applyFill="1" applyBorder="1"/>
    <xf numFmtId="0" fontId="0" fillId="4" borderId="16" xfId="0" applyFill="1" applyBorder="1"/>
    <xf numFmtId="0" fontId="0" fillId="4" borderId="17" xfId="0" applyFill="1" applyBorder="1"/>
    <xf numFmtId="0" fontId="0" fillId="4" borderId="18" xfId="0" applyFill="1" applyBorder="1"/>
    <xf numFmtId="0" fontId="3" fillId="2" borderId="7" xfId="0" applyFont="1" applyFill="1" applyBorder="1"/>
    <xf numFmtId="0" fontId="4" fillId="6" borderId="0" xfId="0" applyFont="1" applyFill="1"/>
    <xf numFmtId="0" fontId="4" fillId="6" borderId="9" xfId="0" applyFont="1" applyFill="1" applyBorder="1"/>
    <xf numFmtId="0" fontId="0" fillId="0" borderId="0" xfId="0" applyFill="1" applyBorder="1"/>
    <xf numFmtId="0" fontId="0" fillId="6" borderId="7" xfId="0" applyFill="1" applyBorder="1"/>
    <xf numFmtId="0" fontId="0" fillId="6" borderId="8" xfId="0" applyFill="1" applyBorder="1"/>
    <xf numFmtId="0" fontId="0" fillId="6" borderId="0" xfId="0" applyFill="1"/>
    <xf numFmtId="0" fontId="0" fillId="6" borderId="9" xfId="0" applyFill="1" applyBorder="1"/>
    <xf numFmtId="0" fontId="0" fillId="6" borderId="10" xfId="0" applyFont="1" applyFill="1" applyBorder="1"/>
    <xf numFmtId="0" fontId="0" fillId="6" borderId="19" xfId="0" applyFont="1" applyFill="1" applyBorder="1"/>
    <xf numFmtId="0" fontId="1" fillId="3" borderId="12" xfId="0" applyFont="1" applyFill="1" applyBorder="1"/>
    <xf numFmtId="0" fontId="0" fillId="6" borderId="0" xfId="0" applyFont="1" applyFill="1" applyAlignment="1">
      <alignment horizontal="right"/>
    </xf>
    <xf numFmtId="0" fontId="1" fillId="6" borderId="7" xfId="0" applyFont="1" applyFill="1" applyBorder="1"/>
    <xf numFmtId="0" fontId="0" fillId="6" borderId="0" xfId="0" applyFill="1" applyBorder="1"/>
    <xf numFmtId="2" fontId="0" fillId="5" borderId="15" xfId="0" applyNumberFormat="1" applyFill="1" applyBorder="1"/>
    <xf numFmtId="0" fontId="0" fillId="6" borderId="20" xfId="0" applyFont="1" applyFill="1" applyBorder="1"/>
    <xf numFmtId="2" fontId="0" fillId="6" borderId="0" xfId="0" applyNumberFormat="1" applyFill="1"/>
    <xf numFmtId="0" fontId="0" fillId="6" borderId="21" xfId="0" applyFont="1" applyFill="1" applyBorder="1"/>
    <xf numFmtId="2" fontId="0" fillId="5" borderId="11" xfId="0" applyNumberFormat="1" applyFill="1" applyBorder="1"/>
    <xf numFmtId="0" fontId="0" fillId="6" borderId="22" xfId="0" applyFont="1" applyFill="1" applyBorder="1"/>
    <xf numFmtId="0" fontId="0" fillId="0" borderId="0" xfId="0" applyBorder="1"/>
    <xf numFmtId="0" fontId="0" fillId="6" borderId="0" xfId="0" applyFont="1" applyFill="1" applyBorder="1" applyAlignment="1">
      <alignment horizontal="right"/>
    </xf>
    <xf numFmtId="0" fontId="0" fillId="6" borderId="17" xfId="0" applyFill="1" applyBorder="1"/>
    <xf numFmtId="0" fontId="0" fillId="6" borderId="17" xfId="0" applyFont="1" applyFill="1" applyBorder="1" applyAlignment="1">
      <alignment horizontal="right"/>
    </xf>
    <xf numFmtId="0" fontId="0" fillId="6" borderId="18" xfId="0" applyFill="1" applyBorder="1"/>
    <xf numFmtId="0" fontId="0" fillId="8" borderId="23" xfId="0" applyFont="1" applyFill="1" applyBorder="1"/>
    <xf numFmtId="0" fontId="0" fillId="8" borderId="24" xfId="0" applyFill="1" applyBorder="1"/>
    <xf numFmtId="0" fontId="0" fillId="4" borderId="0" xfId="0" applyFill="1" applyBorder="1"/>
    <xf numFmtId="0" fontId="0" fillId="8" borderId="25" xfId="0" applyFont="1" applyFill="1" applyBorder="1"/>
    <xf numFmtId="0" fontId="0" fillId="8" borderId="26" xfId="0" applyFill="1" applyBorder="1"/>
    <xf numFmtId="0" fontId="0" fillId="4" borderId="0" xfId="0" applyFont="1" applyFill="1"/>
    <xf numFmtId="0" fontId="1" fillId="4" borderId="0" xfId="0" applyFont="1" applyFill="1" applyBorder="1" applyAlignment="1">
      <alignment horizontal="left"/>
    </xf>
    <xf numFmtId="0" fontId="0" fillId="5" borderId="12" xfId="0" applyFill="1" applyBorder="1"/>
    <xf numFmtId="0" fontId="0" fillId="4" borderId="27" xfId="0" applyFill="1" applyBorder="1"/>
    <xf numFmtId="0" fontId="0" fillId="8" borderId="28" xfId="0" applyFont="1" applyFill="1" applyBorder="1"/>
    <xf numFmtId="0" fontId="0" fillId="8" borderId="29" xfId="0" applyFill="1" applyBorder="1"/>
    <xf numFmtId="0" fontId="0" fillId="6" borderId="30" xfId="0" applyFill="1" applyBorder="1"/>
    <xf numFmtId="0" fontId="0" fillId="0" borderId="0" xfId="0" applyNumberFormat="1"/>
    <xf numFmtId="0" fontId="0" fillId="6" borderId="14" xfId="0" applyFont="1" applyFill="1" applyBorder="1"/>
    <xf numFmtId="1" fontId="0" fillId="6" borderId="0" xfId="0" applyNumberFormat="1" applyFill="1"/>
    <xf numFmtId="0" fontId="0" fillId="9" borderId="7" xfId="0" applyFont="1" applyFill="1" applyBorder="1"/>
    <xf numFmtId="1" fontId="0" fillId="5" borderId="12" xfId="0" applyNumberFormat="1" applyFill="1" applyBorder="1"/>
    <xf numFmtId="0" fontId="0" fillId="0" borderId="0" xfId="0" applyNumberFormat="1" applyFont="1"/>
    <xf numFmtId="0" fontId="0" fillId="6" borderId="31" xfId="0" applyFill="1" applyBorder="1"/>
    <xf numFmtId="0" fontId="0" fillId="6" borderId="16" xfId="0" applyFill="1" applyBorder="1"/>
    <xf numFmtId="0" fontId="1" fillId="4" borderId="7" xfId="0" applyFont="1" applyFill="1" applyBorder="1"/>
    <xf numFmtId="2" fontId="1" fillId="7" borderId="12" xfId="0" applyNumberFormat="1" applyFont="1" applyFill="1" applyBorder="1"/>
    <xf numFmtId="0" fontId="5" fillId="4" borderId="9" xfId="0" applyFont="1" applyFill="1" applyBorder="1"/>
    <xf numFmtId="0" fontId="1" fillId="4" borderId="21" xfId="0" applyFont="1" applyFill="1" applyBorder="1"/>
    <xf numFmtId="2" fontId="0" fillId="5" borderId="13" xfId="0" applyNumberFormat="1" applyFill="1" applyBorder="1"/>
    <xf numFmtId="2" fontId="0" fillId="6" borderId="0" xfId="0" applyNumberFormat="1" applyFill="1" applyBorder="1"/>
    <xf numFmtId="0" fontId="0" fillId="4" borderId="32" xfId="0" applyFont="1" applyFill="1" applyBorder="1"/>
    <xf numFmtId="0" fontId="1" fillId="3" borderId="33" xfId="0" applyFont="1" applyFill="1" applyBorder="1"/>
    <xf numFmtId="0" fontId="0" fillId="4" borderId="21" xfId="0" applyFont="1" applyFill="1" applyBorder="1"/>
    <xf numFmtId="0" fontId="0" fillId="6" borderId="7" xfId="0" applyFont="1" applyFill="1" applyBorder="1"/>
    <xf numFmtId="2" fontId="1" fillId="3" borderId="11" xfId="0" applyNumberFormat="1" applyFont="1" applyFill="1" applyBorder="1" applyAlignment="1">
      <alignment horizontal="left"/>
    </xf>
    <xf numFmtId="0" fontId="0" fillId="6" borderId="0" xfId="0" applyFont="1" applyFill="1" applyBorder="1"/>
    <xf numFmtId="165" fontId="0" fillId="5" borderId="11" xfId="0" applyNumberFormat="1" applyFont="1" applyFill="1" applyBorder="1" applyAlignment="1">
      <alignment horizontal="right"/>
    </xf>
    <xf numFmtId="2" fontId="1" fillId="3" borderId="13" xfId="0" applyNumberFormat="1" applyFont="1" applyFill="1" applyBorder="1" applyAlignment="1">
      <alignment horizontal="left"/>
    </xf>
    <xf numFmtId="165" fontId="0" fillId="5" borderId="13" xfId="0" applyNumberFormat="1" applyFont="1" applyFill="1" applyBorder="1" applyAlignment="1">
      <alignment horizontal="right"/>
    </xf>
    <xf numFmtId="2" fontId="1" fillId="3" borderId="34" xfId="0" applyNumberFormat="1" applyFont="1" applyFill="1" applyBorder="1" applyAlignment="1">
      <alignment horizontal="left"/>
    </xf>
    <xf numFmtId="0" fontId="1" fillId="6" borderId="0" xfId="0" applyFont="1" applyFill="1" applyBorder="1"/>
    <xf numFmtId="165" fontId="1" fillId="5" borderId="13" xfId="0" applyNumberFormat="1" applyFont="1" applyFill="1" applyBorder="1" applyAlignment="1">
      <alignment horizontal="right"/>
    </xf>
    <xf numFmtId="2" fontId="1" fillId="3" borderId="15" xfId="0" applyNumberFormat="1" applyFont="1" applyFill="1" applyBorder="1" applyAlignment="1">
      <alignment horizontal="left"/>
    </xf>
    <xf numFmtId="165" fontId="6" fillId="5" borderId="13" xfId="0" applyNumberFormat="1" applyFont="1" applyFill="1" applyBorder="1" applyAlignment="1">
      <alignment horizontal="right"/>
    </xf>
    <xf numFmtId="0" fontId="0" fillId="0" borderId="35" xfId="0" applyBorder="1"/>
    <xf numFmtId="0" fontId="0" fillId="0" borderId="36" xfId="0" applyBorder="1"/>
    <xf numFmtId="2" fontId="0" fillId="6" borderId="9" xfId="0" applyNumberFormat="1" applyFill="1" applyBorder="1"/>
    <xf numFmtId="0" fontId="0" fillId="0" borderId="37" xfId="0" applyBorder="1"/>
    <xf numFmtId="165" fontId="0" fillId="5" borderId="15" xfId="0" applyNumberFormat="1" applyFont="1" applyFill="1" applyBorder="1" applyAlignment="1">
      <alignment horizontal="right"/>
    </xf>
    <xf numFmtId="2" fontId="0" fillId="6" borderId="0" xfId="0" applyNumberFormat="1" applyFont="1" applyFill="1" applyBorder="1" applyAlignment="1">
      <alignment horizontal="left"/>
    </xf>
    <xf numFmtId="0" fontId="0" fillId="6" borderId="8" xfId="0" applyFont="1" applyFill="1" applyBorder="1"/>
    <xf numFmtId="0" fontId="0" fillId="6" borderId="17" xfId="0" applyFont="1" applyFill="1" applyBorder="1"/>
    <xf numFmtId="165" fontId="0" fillId="6" borderId="17" xfId="0" applyNumberFormat="1" applyFont="1" applyFill="1" applyBorder="1" applyAlignment="1">
      <alignment horizontal="right"/>
    </xf>
    <xf numFmtId="0" fontId="7" fillId="6" borderId="7" xfId="0" applyFont="1" applyFill="1" applyBorder="1"/>
    <xf numFmtId="164" fontId="0" fillId="5" borderId="11" xfId="0" applyNumberFormat="1" applyFill="1" applyBorder="1"/>
    <xf numFmtId="165" fontId="1" fillId="5" borderId="15" xfId="0" applyNumberFormat="1" applyFont="1" applyFill="1" applyBorder="1" applyAlignment="1">
      <alignment horizontal="right"/>
    </xf>
    <xf numFmtId="0" fontId="0" fillId="6" borderId="14" xfId="0" applyNumberFormat="1" applyFont="1" applyFill="1" applyBorder="1"/>
    <xf numFmtId="0" fontId="3" fillId="2" borderId="38" xfId="0" applyFont="1" applyFill="1" applyBorder="1"/>
    <xf numFmtId="0" fontId="1" fillId="4" borderId="39" xfId="0" applyFont="1" applyFill="1" applyBorder="1"/>
    <xf numFmtId="0" fontId="0" fillId="6" borderId="40" xfId="0" applyFill="1" applyBorder="1"/>
    <xf numFmtId="0" fontId="0" fillId="6" borderId="0" xfId="0" applyNumberFormat="1" applyFont="1" applyFill="1" applyBorder="1"/>
    <xf numFmtId="165" fontId="0" fillId="0" borderId="0" xfId="0" applyNumberFormat="1" applyAlignment="1">
      <alignment horizontal="center"/>
    </xf>
    <xf numFmtId="0" fontId="9" fillId="0" borderId="0" xfId="0" applyFont="1"/>
    <xf numFmtId="2" fontId="0" fillId="0" borderId="0" xfId="0" applyNumberFormat="1"/>
    <xf numFmtId="0" fontId="8" fillId="0" borderId="41" xfId="0" applyFont="1" applyBorder="1" applyAlignment="1">
      <alignment horizontal="center"/>
    </xf>
    <xf numFmtId="0" fontId="0" fillId="0" borderId="41" xfId="0" applyBorder="1" applyAlignment="1">
      <alignment horizontal="center"/>
    </xf>
    <xf numFmtId="165" fontId="0" fillId="0" borderId="41" xfId="0" applyNumberFormat="1" applyBorder="1" applyAlignment="1">
      <alignment horizontal="center"/>
    </xf>
    <xf numFmtId="0" fontId="0" fillId="0" borderId="41" xfId="0" applyBorder="1"/>
    <xf numFmtId="2" fontId="0" fillId="0" borderId="41" xfId="0" applyNumberForma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42" xfId="0" applyBorder="1"/>
    <xf numFmtId="0" fontId="0" fillId="0" borderId="43" xfId="0" applyBorder="1"/>
    <xf numFmtId="0" fontId="0" fillId="4" borderId="0" xfId="0" applyFill="1" applyAlignment="1">
      <alignment horizontal="right" indent="1"/>
    </xf>
    <xf numFmtId="0" fontId="0" fillId="0" borderId="0" xfId="0" applyAlignment="1">
      <alignment wrapText="1"/>
    </xf>
    <xf numFmtId="165" fontId="1" fillId="0" borderId="0" xfId="0" applyNumberFormat="1" applyFont="1"/>
    <xf numFmtId="4" fontId="0" fillId="5" borderId="15" xfId="0" applyNumberFormat="1" applyFill="1" applyBorder="1"/>
    <xf numFmtId="2" fontId="0" fillId="8" borderId="26" xfId="0" applyNumberFormat="1" applyFill="1" applyBorder="1"/>
    <xf numFmtId="0" fontId="10" fillId="0" borderId="0" xfId="0" applyFont="1"/>
    <xf numFmtId="165" fontId="0" fillId="5" borderId="12" xfId="0" applyNumberFormat="1" applyFill="1" applyBorder="1"/>
    <xf numFmtId="2" fontId="1" fillId="5" borderId="11" xfId="0" applyNumberFormat="1" applyFont="1" applyFill="1" applyBorder="1"/>
    <xf numFmtId="2" fontId="1" fillId="5" borderId="13" xfId="0" applyNumberFormat="1" applyFont="1" applyFill="1" applyBorder="1"/>
    <xf numFmtId="4" fontId="1" fillId="5" borderId="15" xfId="0" applyNumberFormat="1" applyFont="1" applyFill="1" applyBorder="1"/>
    <xf numFmtId="1" fontId="1" fillId="5" borderId="12" xfId="0" applyNumberFormat="1" applyFont="1" applyFill="1" applyBorder="1"/>
    <xf numFmtId="2" fontId="0" fillId="7" borderId="12" xfId="0" applyNumberFormat="1" applyFont="1" applyFill="1" applyBorder="1"/>
    <xf numFmtId="165" fontId="0" fillId="5" borderId="12" xfId="0" applyNumberFormat="1" applyFont="1" applyFill="1" applyBorder="1"/>
    <xf numFmtId="165" fontId="0" fillId="0" borderId="0" xfId="0" applyNumberFormat="1"/>
    <xf numFmtId="1" fontId="0" fillId="0" borderId="0" xfId="0" applyNumberFormat="1"/>
    <xf numFmtId="0" fontId="0" fillId="4" borderId="18" xfId="0" applyFill="1" applyBorder="1" applyAlignment="1">
      <alignment horizontal="right"/>
    </xf>
    <xf numFmtId="0" fontId="0" fillId="0" borderId="44" xfId="0" applyBorder="1"/>
    <xf numFmtId="0" fontId="0" fillId="0" borderId="0" xfId="0" applyAlignment="1">
      <alignment horizontal="right"/>
    </xf>
    <xf numFmtId="0" fontId="11" fillId="0" borderId="0" xfId="1"/>
    <xf numFmtId="164" fontId="1" fillId="3" borderId="13" xfId="0" applyNumberFormat="1" applyFont="1" applyFill="1" applyBorder="1"/>
    <xf numFmtId="165" fontId="1" fillId="3" borderId="13" xfId="0" applyNumberFormat="1" applyFont="1" applyFill="1" applyBorder="1"/>
    <xf numFmtId="0" fontId="1" fillId="11" borderId="13" xfId="0" applyFont="1" applyFill="1" applyBorder="1"/>
    <xf numFmtId="2" fontId="12" fillId="10" borderId="12" xfId="0" applyNumberFormat="1" applyFont="1" applyFill="1" applyBorder="1"/>
    <xf numFmtId="165" fontId="12" fillId="5" borderId="13" xfId="0" applyNumberFormat="1" applyFont="1" applyFill="1" applyBorder="1" applyAlignment="1">
      <alignment horizontal="right"/>
    </xf>
    <xf numFmtId="2" fontId="0" fillId="10" borderId="46" xfId="0" applyNumberFormat="1" applyFill="1" applyBorder="1"/>
    <xf numFmtId="2" fontId="0" fillId="10" borderId="47" xfId="0" applyNumberFormat="1" applyFill="1" applyBorder="1"/>
    <xf numFmtId="165" fontId="1" fillId="3" borderId="45" xfId="0" applyNumberFormat="1" applyFont="1" applyFill="1" applyBorder="1"/>
    <xf numFmtId="165" fontId="1" fillId="3" borderId="11" xfId="0" applyNumberFormat="1" applyFont="1" applyFill="1" applyBorder="1"/>
    <xf numFmtId="0" fontId="1" fillId="9" borderId="8" xfId="0" applyFont="1" applyFill="1" applyBorder="1"/>
    <xf numFmtId="0" fontId="13" fillId="9" borderId="8" xfId="0" applyFont="1" applyFill="1" applyBorder="1"/>
    <xf numFmtId="0" fontId="1" fillId="9" borderId="7" xfId="0" applyFont="1" applyFill="1" applyBorder="1"/>
    <xf numFmtId="0" fontId="13" fillId="9" borderId="7" xfId="0" applyFont="1" applyFill="1" applyBorder="1"/>
    <xf numFmtId="0" fontId="0" fillId="7" borderId="0" xfId="0" applyFont="1" applyFill="1" applyBorder="1" applyAlignment="1">
      <alignment horizontal="center"/>
    </xf>
    <xf numFmtId="1" fontId="1" fillId="5" borderId="45" xfId="0" applyNumberFormat="1" applyFont="1" applyFill="1" applyBorder="1" applyAlignment="1">
      <alignment horizontal="left"/>
    </xf>
    <xf numFmtId="164" fontId="1" fillId="5" borderId="12" xfId="0" applyNumberFormat="1" applyFont="1" applyFill="1" applyBorder="1"/>
  </cellXfs>
  <cellStyles count="2">
    <cellStyle name="Hyperlink" xfId="1" builtinId="8"/>
    <cellStyle name="Standard" xfId="0" builtinId="0"/>
  </cellStyles>
  <dxfs count="2"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23FF23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84D1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AECF00"/>
      <rgbColor rgb="00FF9900"/>
      <rgbColor rgb="00FF950E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05594720677352"/>
          <c:y val="7.052498515055057E-2"/>
          <c:w val="0.81572224909270208"/>
          <c:h val="0.79174948719645344"/>
        </c:manualLayout>
      </c:layout>
      <c:scatterChart>
        <c:scatterStyle val="smoothMarker"/>
        <c:varyColors val="0"/>
        <c:ser>
          <c:idx val="0"/>
          <c:order val="0"/>
          <c:tx>
            <c:v>Leistung Rotor</c:v>
          </c:tx>
          <c:marker>
            <c:symbol val="none"/>
          </c:marker>
          <c:xVal>
            <c:numRef>
              <c:f>Stern!$A$7:$A$29</c:f>
              <c:numCache>
                <c:formatCode>0.0</c:formatCode>
                <c:ptCount val="23"/>
                <c:pt idx="0">
                  <c:v>1</c:v>
                </c:pt>
                <c:pt idx="1">
                  <c:v>1.5</c:v>
                </c:pt>
                <c:pt idx="2">
                  <c:v>2</c:v>
                </c:pt>
                <c:pt idx="3">
                  <c:v>2.5</c:v>
                </c:pt>
                <c:pt idx="4">
                  <c:v>3</c:v>
                </c:pt>
                <c:pt idx="5">
                  <c:v>3.5</c:v>
                </c:pt>
                <c:pt idx="6">
                  <c:v>4</c:v>
                </c:pt>
                <c:pt idx="7">
                  <c:v>4.5</c:v>
                </c:pt>
                <c:pt idx="8">
                  <c:v>5</c:v>
                </c:pt>
                <c:pt idx="9">
                  <c:v>5.5</c:v>
                </c:pt>
                <c:pt idx="10">
                  <c:v>6</c:v>
                </c:pt>
                <c:pt idx="11">
                  <c:v>6.5</c:v>
                </c:pt>
                <c:pt idx="12">
                  <c:v>7</c:v>
                </c:pt>
                <c:pt idx="13">
                  <c:v>7.5</c:v>
                </c:pt>
                <c:pt idx="14">
                  <c:v>8</c:v>
                </c:pt>
                <c:pt idx="15">
                  <c:v>8.5</c:v>
                </c:pt>
                <c:pt idx="16">
                  <c:v>9</c:v>
                </c:pt>
                <c:pt idx="17">
                  <c:v>9.5</c:v>
                </c:pt>
                <c:pt idx="18">
                  <c:v>10</c:v>
                </c:pt>
                <c:pt idx="19">
                  <c:v>10.5</c:v>
                </c:pt>
                <c:pt idx="20">
                  <c:v>11</c:v>
                </c:pt>
                <c:pt idx="21">
                  <c:v>11.5</c:v>
                </c:pt>
                <c:pt idx="22">
                  <c:v>12</c:v>
                </c:pt>
              </c:numCache>
            </c:numRef>
          </c:xVal>
          <c:yVal>
            <c:numRef>
              <c:f>Stern!$B$7:$B$29</c:f>
              <c:numCache>
                <c:formatCode>0.0</c:formatCode>
                <c:ptCount val="23"/>
                <c:pt idx="0">
                  <c:v>1.2519875043086044</c:v>
                </c:pt>
                <c:pt idx="1">
                  <c:v>4.2254578270415397</c:v>
                </c:pt>
                <c:pt idx="2">
                  <c:v>10.015900034468835</c:v>
                </c:pt>
                <c:pt idx="3">
                  <c:v>19.562304754821941</c:v>
                </c:pt>
                <c:pt idx="4">
                  <c:v>33.803662616332318</c:v>
                </c:pt>
                <c:pt idx="5">
                  <c:v>53.678964247231406</c:v>
                </c:pt>
                <c:pt idx="6">
                  <c:v>80.127200275750681</c:v>
                </c:pt>
                <c:pt idx="7">
                  <c:v>114.08736133012157</c:v>
                </c:pt>
                <c:pt idx="8">
                  <c:v>156.49843803857553</c:v>
                </c:pt>
                <c:pt idx="9">
                  <c:v>208.29942102934402</c:v>
                </c:pt>
                <c:pt idx="10">
                  <c:v>270.42930093065854</c:v>
                </c:pt>
                <c:pt idx="11">
                  <c:v>343.82706837075051</c:v>
                </c:pt>
                <c:pt idx="12">
                  <c:v>429.43171397785125</c:v>
                </c:pt>
                <c:pt idx="13">
                  <c:v>528.18222838019244</c:v>
                </c:pt>
                <c:pt idx="14">
                  <c:v>641.01760220600545</c:v>
                </c:pt>
                <c:pt idx="15">
                  <c:v>768.87682608352156</c:v>
                </c:pt>
                <c:pt idx="16">
                  <c:v>912.69889064097254</c:v>
                </c:pt>
                <c:pt idx="17">
                  <c:v>1073.4227865065895</c:v>
                </c:pt>
                <c:pt idx="18">
                  <c:v>1251.9875043086042</c:v>
                </c:pt>
                <c:pt idx="19">
                  <c:v>1449.3320346752482</c:v>
                </c:pt>
                <c:pt idx="20">
                  <c:v>1666.3953682347521</c:v>
                </c:pt>
                <c:pt idx="21">
                  <c:v>1904.1164956153486</c:v>
                </c:pt>
                <c:pt idx="22">
                  <c:v>2163.4344074452683</c:v>
                </c:pt>
              </c:numCache>
            </c:numRef>
          </c:yVal>
          <c:smooth val="1"/>
        </c:ser>
        <c:ser>
          <c:idx val="1"/>
          <c:order val="1"/>
          <c:tx>
            <c:v>Ladeleistung Sternschaltung</c:v>
          </c:tx>
          <c:marker>
            <c:symbol val="none"/>
          </c:marker>
          <c:xVal>
            <c:numRef>
              <c:f>Stern!$A$7:$A$29</c:f>
              <c:numCache>
                <c:formatCode>0.0</c:formatCode>
                <c:ptCount val="23"/>
                <c:pt idx="0">
                  <c:v>1</c:v>
                </c:pt>
                <c:pt idx="1">
                  <c:v>1.5</c:v>
                </c:pt>
                <c:pt idx="2">
                  <c:v>2</c:v>
                </c:pt>
                <c:pt idx="3">
                  <c:v>2.5</c:v>
                </c:pt>
                <c:pt idx="4">
                  <c:v>3</c:v>
                </c:pt>
                <c:pt idx="5">
                  <c:v>3.5</c:v>
                </c:pt>
                <c:pt idx="6">
                  <c:v>4</c:v>
                </c:pt>
                <c:pt idx="7">
                  <c:v>4.5</c:v>
                </c:pt>
                <c:pt idx="8">
                  <c:v>5</c:v>
                </c:pt>
                <c:pt idx="9">
                  <c:v>5.5</c:v>
                </c:pt>
                <c:pt idx="10">
                  <c:v>6</c:v>
                </c:pt>
                <c:pt idx="11">
                  <c:v>6.5</c:v>
                </c:pt>
                <c:pt idx="12">
                  <c:v>7</c:v>
                </c:pt>
                <c:pt idx="13">
                  <c:v>7.5</c:v>
                </c:pt>
                <c:pt idx="14">
                  <c:v>8</c:v>
                </c:pt>
                <c:pt idx="15">
                  <c:v>8.5</c:v>
                </c:pt>
                <c:pt idx="16">
                  <c:v>9</c:v>
                </c:pt>
                <c:pt idx="17">
                  <c:v>9.5</c:v>
                </c:pt>
                <c:pt idx="18">
                  <c:v>10</c:v>
                </c:pt>
                <c:pt idx="19">
                  <c:v>10.5</c:v>
                </c:pt>
                <c:pt idx="20">
                  <c:v>11</c:v>
                </c:pt>
                <c:pt idx="21">
                  <c:v>11.5</c:v>
                </c:pt>
                <c:pt idx="22">
                  <c:v>12</c:v>
                </c:pt>
              </c:numCache>
            </c:numRef>
          </c:xVal>
          <c:yVal>
            <c:numRef>
              <c:f>Stern!$J$7:$J$29</c:f>
              <c:numCache>
                <c:formatCode>0.0</c:formatCode>
                <c:ptCount val="23"/>
                <c:pt idx="0">
                  <c:v>0</c:v>
                </c:pt>
                <c:pt idx="1">
                  <c:v>0.10781509895947637</c:v>
                </c:pt>
                <c:pt idx="2">
                  <c:v>2.5062464283012407</c:v>
                </c:pt>
                <c:pt idx="3">
                  <c:v>7.5230674910185229</c:v>
                </c:pt>
                <c:pt idx="4">
                  <c:v>15.999970299976212</c:v>
                </c:pt>
                <c:pt idx="5">
                  <c:v>28.748723622031438</c:v>
                </c:pt>
                <c:pt idx="6">
                  <c:v>46.536182906630366</c:v>
                </c:pt>
                <c:pt idx="7">
                  <c:v>70.068154991068411</c:v>
                </c:pt>
                <c:pt idx="8">
                  <c:v>99.973621676009444</c:v>
                </c:pt>
                <c:pt idx="9">
                  <c:v>136.79095317107809</c:v>
                </c:pt>
                <c:pt idx="10">
                  <c:v>180.95761930838344</c:v>
                </c:pt>
                <c:pt idx="11">
                  <c:v>232.80452039373552</c:v>
                </c:pt>
                <c:pt idx="12">
                  <c:v>292.55547270240231</c:v>
                </c:pt>
                <c:pt idx="13">
                  <c:v>360.33171873573781</c:v>
                </c:pt>
                <c:pt idx="14">
                  <c:v>436.16073303401276</c:v>
                </c:pt>
                <c:pt idx="15">
                  <c:v>519.9881772609383</c:v>
                </c:pt>
                <c:pt idx="16">
                  <c:v>611.69167952644329</c:v>
                </c:pt>
                <c:pt idx="17">
                  <c:v>711.09516121309559</c:v>
                </c:pt>
                <c:pt idx="18">
                  <c:v>817.98264911651756</c:v>
                </c:pt>
                <c:pt idx="19">
                  <c:v>932.11081067478528</c:v>
                </c:pt>
                <c:pt idx="20">
                  <c:v>1053.2197613710391</c:v>
                </c:pt>
                <c:pt idx="21">
                  <c:v>1181.0419643482528</c:v>
                </c:pt>
                <c:pt idx="22">
                  <c:v>1315.3092471016491</c:v>
                </c:pt>
              </c:numCache>
            </c:numRef>
          </c:yVal>
          <c:smooth val="1"/>
        </c:ser>
        <c:ser>
          <c:idx val="2"/>
          <c:order val="2"/>
          <c:tx>
            <c:v>Ladeleistung Dreieckschaltung</c:v>
          </c:tx>
          <c:marker>
            <c:symbol val="none"/>
          </c:marker>
          <c:xVal>
            <c:numRef>
              <c:f>Dreieck!$A$7:$A$29</c:f>
              <c:numCache>
                <c:formatCode>0.0</c:formatCode>
                <c:ptCount val="23"/>
                <c:pt idx="0">
                  <c:v>1</c:v>
                </c:pt>
                <c:pt idx="1">
                  <c:v>1.5</c:v>
                </c:pt>
                <c:pt idx="2">
                  <c:v>2</c:v>
                </c:pt>
                <c:pt idx="3">
                  <c:v>2.5</c:v>
                </c:pt>
                <c:pt idx="4">
                  <c:v>3</c:v>
                </c:pt>
                <c:pt idx="5">
                  <c:v>3.5</c:v>
                </c:pt>
                <c:pt idx="6">
                  <c:v>4</c:v>
                </c:pt>
                <c:pt idx="7">
                  <c:v>4.5</c:v>
                </c:pt>
                <c:pt idx="8">
                  <c:v>5</c:v>
                </c:pt>
                <c:pt idx="9">
                  <c:v>5.5</c:v>
                </c:pt>
                <c:pt idx="10">
                  <c:v>6</c:v>
                </c:pt>
                <c:pt idx="11">
                  <c:v>6.5</c:v>
                </c:pt>
                <c:pt idx="12">
                  <c:v>7</c:v>
                </c:pt>
                <c:pt idx="13">
                  <c:v>7.5</c:v>
                </c:pt>
                <c:pt idx="14">
                  <c:v>8</c:v>
                </c:pt>
                <c:pt idx="15">
                  <c:v>8.5</c:v>
                </c:pt>
                <c:pt idx="16">
                  <c:v>9</c:v>
                </c:pt>
                <c:pt idx="17">
                  <c:v>9.5</c:v>
                </c:pt>
                <c:pt idx="18">
                  <c:v>10</c:v>
                </c:pt>
                <c:pt idx="19">
                  <c:v>10.5</c:v>
                </c:pt>
                <c:pt idx="20">
                  <c:v>11</c:v>
                </c:pt>
                <c:pt idx="21">
                  <c:v>11.5</c:v>
                </c:pt>
                <c:pt idx="22">
                  <c:v>12</c:v>
                </c:pt>
              </c:numCache>
            </c:numRef>
          </c:xVal>
          <c:yVal>
            <c:numRef>
              <c:f>Dreieck!$J$7:$J$29</c:f>
              <c:numCache>
                <c:formatCode>0.0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4.9285894882354686</c:v>
                </c:pt>
                <c:pt idx="5">
                  <c:v>13.778487263305347</c:v>
                </c:pt>
                <c:pt idx="6">
                  <c:v>27.188524216936003</c:v>
                </c:pt>
                <c:pt idx="7">
                  <c:v>45.962244495887489</c:v>
                </c:pt>
                <c:pt idx="8">
                  <c:v>70.863058675853082</c:v>
                </c:pt>
                <c:pt idx="9">
                  <c:v>102.60278987983031</c:v>
                </c:pt>
                <c:pt idx="10">
                  <c:v>141.83046056270524</c:v>
                </c:pt>
                <c:pt idx="11">
                  <c:v>189.12212846199364</c:v>
                </c:pt>
                <c:pt idx="12">
                  <c:v>244.97254570095353</c:v>
                </c:pt>
                <c:pt idx="13">
                  <c:v>309.78928637009886</c:v>
                </c:pt>
                <c:pt idx="14">
                  <c:v>383.88977665191589</c:v>
                </c:pt>
                <c:pt idx="15">
                  <c:v>467.50139692201532</c:v>
                </c:pt>
                <c:pt idx="16">
                  <c:v>560.76454789828256</c:v>
                </c:pt>
                <c:pt idx="17">
                  <c:v>663.73832511332671</c:v>
                </c:pt>
                <c:pt idx="18">
                  <c:v>776.4082617418776</c:v>
                </c:pt>
                <c:pt idx="19">
                  <c:v>898.69549789082339</c:v>
                </c:pt>
                <c:pt idx="20">
                  <c:v>1030.4667163914733</c:v>
                </c:pt>
                <c:pt idx="21">
                  <c:v>1171.544237956618</c:v>
                </c:pt>
                <c:pt idx="22">
                  <c:v>1321.7157705284521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9582400"/>
        <c:axId val="219582976"/>
      </c:scatterChart>
      <c:valAx>
        <c:axId val="2195824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ctr">
                  <a:defRPr sz="1600"/>
                </a:pPr>
                <a:r>
                  <a:rPr lang="de-DE" sz="1600"/>
                  <a:t>Windgeschwindigkeit [m/s]</a:t>
                </a:r>
              </a:p>
            </c:rich>
          </c:tx>
          <c:layout>
            <c:manualLayout>
              <c:xMode val="edge"/>
              <c:yMode val="edge"/>
              <c:x val="0.40195605242177496"/>
              <c:y val="0.92967689383654639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de-DE"/>
          </a:p>
        </c:txPr>
        <c:crossAx val="219582976"/>
        <c:crosses val="autoZero"/>
        <c:crossBetween val="midCat"/>
        <c:majorUnit val="1"/>
      </c:valAx>
      <c:valAx>
        <c:axId val="219582976"/>
        <c:scaling>
          <c:orientation val="minMax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600"/>
                </a:pPr>
                <a:r>
                  <a:rPr lang="de-DE" sz="1600"/>
                  <a:t>Leistung [W]</a:t>
                </a:r>
              </a:p>
            </c:rich>
          </c:tx>
          <c:layout>
            <c:manualLayout>
              <c:xMode val="edge"/>
              <c:yMode val="edge"/>
              <c:x val="1.0106880999288279E-2"/>
              <c:y val="0.33795055029885968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219582400"/>
        <c:crosses val="autoZero"/>
        <c:crossBetween val="midCat"/>
        <c:majorUnit val="100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4646731605900903"/>
          <c:y val="7.7786673724607958E-2"/>
          <c:w val="0.28375134386827883"/>
          <c:h val="0.20260967379077616"/>
        </c:manualLayout>
      </c:layout>
      <c:overlay val="0"/>
      <c:spPr>
        <a:solidFill>
          <a:schemeClr val="bg1"/>
        </a:solidFill>
        <a:ln>
          <a:solidFill>
            <a:schemeClr val="tx1"/>
          </a:solidFill>
        </a:ln>
      </c:spPr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247650</xdr:colOff>
      <xdr:row>2</xdr:row>
      <xdr:rowOff>114300</xdr:rowOff>
    </xdr:from>
    <xdr:to>
      <xdr:col>13</xdr:col>
      <xdr:colOff>1457325</xdr:colOff>
      <xdr:row>26</xdr:row>
      <xdr:rowOff>0</xdr:rowOff>
    </xdr:to>
    <xdr:pic>
      <xdr:nvPicPr>
        <xdr:cNvPr id="1028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44125" y="504825"/>
          <a:ext cx="4686300" cy="3971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8</xdr:col>
      <xdr:colOff>28575</xdr:colOff>
      <xdr:row>28</xdr:row>
      <xdr:rowOff>135255</xdr:rowOff>
    </xdr:from>
    <xdr:to>
      <xdr:col>15</xdr:col>
      <xdr:colOff>281941</xdr:colOff>
      <xdr:row>53</xdr:row>
      <xdr:rowOff>163830</xdr:rowOff>
    </xdr:to>
    <xdr:graphicFrame macro="">
      <xdr:nvGraphicFramePr>
        <xdr:cNvPr id="5" name="Diagramm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42"/>
  <sheetViews>
    <sheetView tabSelected="1" topLeftCell="A72" workbookViewId="0">
      <selection activeCell="D79" sqref="D79"/>
    </sheetView>
  </sheetViews>
  <sheetFormatPr baseColWidth="10" defaultColWidth="9.109375" defaultRowHeight="13.2" x14ac:dyDescent="0.25"/>
  <cols>
    <col min="1" max="1" width="4.44140625" customWidth="1"/>
    <col min="2" max="2" width="36.5546875" customWidth="1"/>
    <col min="3" max="3" width="18" customWidth="1"/>
    <col min="5" max="5" width="28.5546875" customWidth="1"/>
    <col min="6" max="6" width="17.6640625" customWidth="1"/>
    <col min="7" max="7" width="15.6640625" customWidth="1"/>
    <col min="10" max="10" width="22.6640625" customWidth="1"/>
    <col min="11" max="11" width="11.109375" bestFit="1" customWidth="1"/>
    <col min="14" max="14" width="28.88671875" customWidth="1"/>
  </cols>
  <sheetData>
    <row r="1" spans="2:33" s="1" customFormat="1" ht="17.399999999999999" x14ac:dyDescent="0.3">
      <c r="B1" s="2" t="s">
        <v>0</v>
      </c>
    </row>
    <row r="2" spans="2:33" x14ac:dyDescent="0.25">
      <c r="G2" s="3"/>
    </row>
    <row r="3" spans="2:33" x14ac:dyDescent="0.25">
      <c r="B3" s="4" t="s">
        <v>1</v>
      </c>
      <c r="C3" s="5" t="s">
        <v>2</v>
      </c>
      <c r="D3" s="6"/>
      <c r="E3" s="7"/>
      <c r="F3" s="8" t="s">
        <v>3</v>
      </c>
      <c r="G3" s="9" t="s">
        <v>4</v>
      </c>
      <c r="W3" s="136"/>
    </row>
    <row r="4" spans="2:33" ht="13.8" thickBot="1" x14ac:dyDescent="0.3">
      <c r="B4" s="10"/>
      <c r="C4" s="11"/>
      <c r="D4" s="12"/>
      <c r="E4" s="12"/>
      <c r="F4" s="12"/>
      <c r="G4" s="13"/>
      <c r="W4" s="136"/>
    </row>
    <row r="5" spans="2:33" ht="13.8" thickBot="1" x14ac:dyDescent="0.3">
      <c r="B5" s="14" t="s">
        <v>5</v>
      </c>
      <c r="C5" s="12" t="s">
        <v>6</v>
      </c>
      <c r="D5" s="145">
        <v>7.853981633974481</v>
      </c>
      <c r="E5" s="16" t="s">
        <v>7</v>
      </c>
      <c r="F5" s="124">
        <f>D5*D6*60/(D7*PI())</f>
        <v>187.49999999999997</v>
      </c>
      <c r="G5" s="13" t="s">
        <v>8</v>
      </c>
    </row>
    <row r="6" spans="2:33" ht="13.8" thickBot="1" x14ac:dyDescent="0.3">
      <c r="B6" s="14" t="s">
        <v>9</v>
      </c>
      <c r="C6" s="12" t="s">
        <v>10</v>
      </c>
      <c r="D6" s="17">
        <v>3</v>
      </c>
      <c r="E6" s="12"/>
      <c r="F6" s="12"/>
      <c r="G6" s="13"/>
      <c r="U6" s="135"/>
      <c r="W6" s="136"/>
    </row>
    <row r="7" spans="2:33" ht="13.8" thickBot="1" x14ac:dyDescent="0.3">
      <c r="B7" s="14" t="s">
        <v>11</v>
      </c>
      <c r="C7" s="18" t="s">
        <v>12</v>
      </c>
      <c r="D7" s="19">
        <v>2.4</v>
      </c>
      <c r="E7" s="16" t="s">
        <v>13</v>
      </c>
      <c r="F7" s="20">
        <f>F5/60</f>
        <v>3.1249999999999996</v>
      </c>
      <c r="G7" s="13" t="s">
        <v>14</v>
      </c>
      <c r="U7" s="135"/>
      <c r="W7" s="136"/>
    </row>
    <row r="8" spans="2:33" ht="13.8" thickBot="1" x14ac:dyDescent="0.3">
      <c r="B8" s="21"/>
      <c r="C8" s="22"/>
      <c r="D8" s="22"/>
      <c r="E8" s="22"/>
      <c r="F8" s="22"/>
      <c r="G8" s="23"/>
    </row>
    <row r="9" spans="2:33" x14ac:dyDescent="0.25">
      <c r="B9" s="24" t="s">
        <v>15</v>
      </c>
      <c r="C9" s="25"/>
      <c r="D9" s="25"/>
      <c r="E9" s="25"/>
      <c r="F9" s="25"/>
      <c r="G9" s="26"/>
      <c r="J9" s="27"/>
    </row>
    <row r="10" spans="2:33" ht="13.8" thickBot="1" x14ac:dyDescent="0.3">
      <c r="B10" s="28"/>
      <c r="C10" s="29"/>
      <c r="D10" s="30"/>
      <c r="E10" s="30"/>
      <c r="F10" s="30"/>
      <c r="G10" s="31"/>
      <c r="J10" s="27"/>
      <c r="U10" s="135"/>
      <c r="W10" s="136"/>
    </row>
    <row r="11" spans="2:33" ht="13.8" thickBot="1" x14ac:dyDescent="0.3">
      <c r="B11" s="32" t="s">
        <v>16</v>
      </c>
      <c r="C11" s="33" t="s">
        <v>17</v>
      </c>
      <c r="D11" s="34">
        <v>12</v>
      </c>
      <c r="E11" s="35" t="s">
        <v>18</v>
      </c>
      <c r="F11" s="99">
        <f>(D14+(D16*2)+D17+D15+(D16*2))*D11/2/1000</f>
        <v>0.73259999999999992</v>
      </c>
      <c r="G11" s="31" t="s">
        <v>19</v>
      </c>
      <c r="J11" s="27"/>
      <c r="U11" s="135"/>
      <c r="W11" s="136"/>
    </row>
    <row r="12" spans="2:33" ht="13.8" thickBot="1" x14ac:dyDescent="0.3">
      <c r="B12" s="36" t="s">
        <v>20</v>
      </c>
      <c r="C12" s="37"/>
      <c r="D12" s="30"/>
      <c r="E12" s="35" t="s">
        <v>21</v>
      </c>
      <c r="F12" s="38">
        <f>F11/(2*PI())*1000</f>
        <v>116.59691130912252</v>
      </c>
      <c r="G12" s="31" t="s">
        <v>22</v>
      </c>
      <c r="J12" s="27"/>
      <c r="U12" s="135"/>
      <c r="W12" s="136"/>
      <c r="AG12" s="136"/>
    </row>
    <row r="13" spans="2:33" ht="13.8" thickBot="1" x14ac:dyDescent="0.3">
      <c r="B13" s="28" t="s">
        <v>23</v>
      </c>
      <c r="C13" s="39" t="s">
        <v>24</v>
      </c>
      <c r="D13" s="15">
        <v>51</v>
      </c>
      <c r="E13" s="30"/>
      <c r="F13" s="30"/>
      <c r="G13" s="31"/>
      <c r="J13" s="27"/>
      <c r="U13" s="135"/>
    </row>
    <row r="14" spans="2:33" ht="13.8" thickBot="1" x14ac:dyDescent="0.3">
      <c r="B14" s="28" t="s">
        <v>25</v>
      </c>
      <c r="C14" s="28" t="s">
        <v>26</v>
      </c>
      <c r="D14" s="138">
        <v>32.1</v>
      </c>
      <c r="E14" s="35" t="s">
        <v>27</v>
      </c>
      <c r="F14" s="20">
        <f>(F5/60)*F11</f>
        <v>2.2893749999999993</v>
      </c>
      <c r="G14" s="31" t="s">
        <v>28</v>
      </c>
      <c r="J14" s="27"/>
      <c r="U14" s="135"/>
    </row>
    <row r="15" spans="2:33" x14ac:dyDescent="0.25">
      <c r="B15" s="28" t="s">
        <v>29</v>
      </c>
      <c r="C15" s="28" t="s">
        <v>30</v>
      </c>
      <c r="D15" s="17">
        <v>6</v>
      </c>
      <c r="E15" s="30"/>
      <c r="F15" s="30"/>
      <c r="G15" s="31"/>
      <c r="U15" s="135"/>
      <c r="W15" s="136"/>
    </row>
    <row r="16" spans="2:33" x14ac:dyDescent="0.25">
      <c r="B16" s="28" t="s">
        <v>31</v>
      </c>
      <c r="C16" s="28" t="s">
        <v>32</v>
      </c>
      <c r="D16" s="17">
        <v>20</v>
      </c>
      <c r="E16" s="30"/>
      <c r="F16" s="30"/>
      <c r="G16" s="31"/>
      <c r="K16" s="3"/>
      <c r="W16" s="136"/>
    </row>
    <row r="17" spans="1:23" ht="13.8" thickBot="1" x14ac:dyDescent="0.3">
      <c r="B17" s="28" t="s">
        <v>33</v>
      </c>
      <c r="C17" s="28" t="s">
        <v>34</v>
      </c>
      <c r="D17" s="17">
        <v>4</v>
      </c>
      <c r="E17" s="30"/>
      <c r="F17" s="40"/>
      <c r="G17" s="31"/>
      <c r="K17" s="3"/>
      <c r="W17" s="136"/>
    </row>
    <row r="18" spans="1:23" ht="13.8" thickBot="1" x14ac:dyDescent="0.3">
      <c r="A18" s="134"/>
      <c r="B18" s="37" t="s">
        <v>35</v>
      </c>
      <c r="C18" s="41" t="s">
        <v>36</v>
      </c>
      <c r="D18" s="19">
        <v>5</v>
      </c>
      <c r="E18" s="35" t="s">
        <v>37</v>
      </c>
      <c r="F18" s="42">
        <f>(D11*(D15+(D16*2)+(D17*2))/PI())/10/1.25+(0.2*D18)+(2*D13/10)+(4*D16/10)</f>
        <v>35.701184499767706</v>
      </c>
      <c r="G18" s="43" t="s">
        <v>38</v>
      </c>
      <c r="H18" s="44"/>
      <c r="I18" s="44"/>
      <c r="K18" s="3"/>
    </row>
    <row r="19" spans="1:23" ht="13.8" thickBot="1" x14ac:dyDescent="0.3">
      <c r="A19" s="134"/>
      <c r="B19" s="37"/>
      <c r="C19" s="37"/>
      <c r="D19" s="37"/>
      <c r="E19" s="45" t="s">
        <v>39</v>
      </c>
      <c r="F19" s="38">
        <f>(D11*(D15+(D16*2)+(D17*2))/PI())/10/1.25-(2*D16/10)+(2*D13/10)+(4*D16/10)+2</f>
        <v>32.701184499767706</v>
      </c>
      <c r="G19" s="43" t="s">
        <v>38</v>
      </c>
      <c r="K19" s="3"/>
      <c r="U19" s="135"/>
    </row>
    <row r="20" spans="1:23" ht="13.8" thickBot="1" x14ac:dyDescent="0.3">
      <c r="A20" s="134"/>
      <c r="B20" s="46"/>
      <c r="C20" s="46"/>
      <c r="D20" s="46"/>
      <c r="E20" s="47" t="s">
        <v>40</v>
      </c>
      <c r="F20" s="46"/>
      <c r="G20" s="48"/>
    </row>
    <row r="21" spans="1:23" x14ac:dyDescent="0.25">
      <c r="B21" s="24" t="s">
        <v>41</v>
      </c>
      <c r="C21" s="12"/>
      <c r="D21" s="12"/>
      <c r="E21" s="12"/>
      <c r="F21" s="12"/>
      <c r="G21" s="13"/>
      <c r="H21" s="49" t="s">
        <v>42</v>
      </c>
      <c r="I21" s="50">
        <v>1.43</v>
      </c>
      <c r="K21" s="3"/>
    </row>
    <row r="22" spans="1:23" ht="13.8" thickBot="1" x14ac:dyDescent="0.3">
      <c r="B22" s="10"/>
      <c r="C22" s="11"/>
      <c r="D22" s="51"/>
      <c r="E22" s="12"/>
      <c r="F22" s="12"/>
      <c r="G22" s="13"/>
      <c r="H22" s="52" t="s">
        <v>43</v>
      </c>
      <c r="I22" s="122">
        <v>1.4</v>
      </c>
      <c r="K22" s="3"/>
    </row>
    <row r="23" spans="1:23" ht="13.8" thickBot="1" x14ac:dyDescent="0.3">
      <c r="B23" s="14" t="s">
        <v>44</v>
      </c>
      <c r="C23" s="11" t="s">
        <v>45</v>
      </c>
      <c r="D23" s="34">
        <v>10</v>
      </c>
      <c r="F23" s="51"/>
      <c r="G23" s="13"/>
      <c r="H23" s="52" t="s">
        <v>46</v>
      </c>
      <c r="I23" s="53">
        <v>1.38</v>
      </c>
      <c r="K23" s="3"/>
    </row>
    <row r="24" spans="1:23" ht="13.8" thickBot="1" x14ac:dyDescent="0.3">
      <c r="B24" s="14" t="s">
        <v>47</v>
      </c>
      <c r="C24" s="54" t="s">
        <v>48</v>
      </c>
      <c r="D24" s="34">
        <v>20</v>
      </c>
      <c r="E24" s="55" t="s">
        <v>49</v>
      </c>
      <c r="F24" s="51"/>
      <c r="G24" s="13"/>
      <c r="H24" s="52" t="s">
        <v>50</v>
      </c>
      <c r="I24" s="53">
        <v>1.3049999999999999</v>
      </c>
      <c r="K24" s="3"/>
    </row>
    <row r="25" spans="1:23" ht="13.8" thickBot="1" x14ac:dyDescent="0.3">
      <c r="B25" s="14" t="s">
        <v>145</v>
      </c>
      <c r="C25" s="10" t="s">
        <v>146</v>
      </c>
      <c r="D25" s="137">
        <v>1.25</v>
      </c>
      <c r="E25" s="150" t="s">
        <v>51</v>
      </c>
      <c r="F25" s="56">
        <f>D25-((D25*(D24/(2*D23)))*0.5)</f>
        <v>0.625</v>
      </c>
      <c r="G25" s="13" t="s">
        <v>52</v>
      </c>
      <c r="H25" s="52" t="s">
        <v>53</v>
      </c>
      <c r="I25" s="53">
        <v>1.28</v>
      </c>
      <c r="K25" s="3"/>
    </row>
    <row r="26" spans="1:23" ht="13.8" thickBot="1" x14ac:dyDescent="0.3">
      <c r="B26" s="21"/>
      <c r="C26" s="57"/>
      <c r="D26" s="57"/>
      <c r="E26" s="22"/>
      <c r="F26" s="22"/>
      <c r="G26" s="23"/>
      <c r="H26" s="58" t="s">
        <v>54</v>
      </c>
      <c r="I26" s="59">
        <v>1.25</v>
      </c>
      <c r="K26" s="3"/>
    </row>
    <row r="27" spans="1:23" x14ac:dyDescent="0.25">
      <c r="B27" s="24" t="s">
        <v>55</v>
      </c>
      <c r="C27" s="30"/>
      <c r="D27" s="30"/>
      <c r="E27" s="30"/>
      <c r="F27" s="30"/>
      <c r="G27" s="60"/>
      <c r="K27" s="3"/>
    </row>
    <row r="28" spans="1:23" ht="13.8" thickBot="1" x14ac:dyDescent="0.3">
      <c r="B28" s="28"/>
      <c r="C28" s="29"/>
      <c r="D28" s="30"/>
      <c r="E28" s="30"/>
      <c r="F28" s="30"/>
      <c r="G28" s="31"/>
    </row>
    <row r="29" spans="1:23" x14ac:dyDescent="0.25">
      <c r="B29" s="32" t="s">
        <v>56</v>
      </c>
      <c r="C29" s="30" t="s">
        <v>57</v>
      </c>
      <c r="D29" s="15">
        <v>24</v>
      </c>
      <c r="E29" s="30"/>
      <c r="F29" s="30"/>
      <c r="G29" s="31"/>
    </row>
    <row r="30" spans="1:23" x14ac:dyDescent="0.25">
      <c r="B30" s="32" t="s">
        <v>58</v>
      </c>
      <c r="C30" s="30" t="s">
        <v>26</v>
      </c>
      <c r="D30" s="17">
        <v>30</v>
      </c>
      <c r="E30" s="30"/>
      <c r="F30" s="30"/>
      <c r="G30" s="31"/>
    </row>
    <row r="31" spans="1:23" x14ac:dyDescent="0.25">
      <c r="B31" s="32" t="s">
        <v>59</v>
      </c>
      <c r="C31" s="30" t="s">
        <v>60</v>
      </c>
      <c r="D31" s="17">
        <v>46</v>
      </c>
      <c r="E31" s="30"/>
      <c r="F31" s="30"/>
      <c r="G31" s="31"/>
      <c r="K31" s="61"/>
    </row>
    <row r="32" spans="1:23" x14ac:dyDescent="0.25">
      <c r="B32" s="32" t="s">
        <v>61</v>
      </c>
      <c r="C32" s="30" t="s">
        <v>62</v>
      </c>
      <c r="D32" s="17">
        <v>16</v>
      </c>
      <c r="E32" s="30"/>
      <c r="F32" s="30"/>
      <c r="G32" s="31"/>
      <c r="K32" s="61"/>
    </row>
    <row r="33" spans="2:11" ht="13.8" thickBot="1" x14ac:dyDescent="0.3">
      <c r="B33" s="32" t="s">
        <v>63</v>
      </c>
      <c r="C33" s="62" t="s">
        <v>64</v>
      </c>
      <c r="D33" s="19">
        <v>3</v>
      </c>
      <c r="E33" s="30"/>
      <c r="F33" s="30"/>
      <c r="G33" s="31"/>
      <c r="K33" s="61"/>
    </row>
    <row r="34" spans="2:11" ht="13.8" thickBot="1" x14ac:dyDescent="0.3">
      <c r="B34" s="28"/>
      <c r="C34" s="30"/>
      <c r="D34" s="30"/>
      <c r="E34" s="29"/>
      <c r="F34" s="63"/>
      <c r="G34" s="31"/>
      <c r="K34" s="61"/>
    </row>
    <row r="35" spans="2:11" ht="13.8" thickBot="1" x14ac:dyDescent="0.3">
      <c r="B35" s="148" t="s">
        <v>65</v>
      </c>
      <c r="C35" s="30"/>
      <c r="D35" s="31"/>
      <c r="E35" s="30" t="s">
        <v>66</v>
      </c>
      <c r="F35" s="128">
        <f>((((D29+1.4)/(SQRT(D33)*SQRT(2)))/((2*D32*F25*F7*D30/1000*D31/1000)*(D11/D33))))</f>
        <v>30.056540805165568</v>
      </c>
      <c r="G35" s="31" t="s">
        <v>67</v>
      </c>
      <c r="J35" s="66"/>
    </row>
    <row r="36" spans="2:11" ht="13.8" thickBot="1" x14ac:dyDescent="0.3">
      <c r="B36" s="28"/>
      <c r="C36" s="30"/>
      <c r="D36" s="31"/>
      <c r="E36" s="30"/>
      <c r="F36" s="67"/>
      <c r="G36" s="31"/>
    </row>
    <row r="37" spans="2:11" ht="13.8" thickBot="1" x14ac:dyDescent="0.3">
      <c r="B37" s="149" t="s">
        <v>68</v>
      </c>
      <c r="C37" s="30"/>
      <c r="D37" s="31"/>
      <c r="E37" s="62" t="s">
        <v>66</v>
      </c>
      <c r="F37" s="65">
        <f>(((D29+1.4)/1.414)/(2*D32*F25*F7*D30/1000*D31/1000))/(D11/D33)</f>
        <v>52.067318533095559</v>
      </c>
      <c r="G37" s="31" t="s">
        <v>67</v>
      </c>
    </row>
    <row r="38" spans="2:11" ht="13.8" thickBot="1" x14ac:dyDescent="0.3">
      <c r="B38" s="68"/>
      <c r="C38" s="46"/>
      <c r="D38" s="46"/>
      <c r="E38" s="46"/>
      <c r="F38" s="46"/>
      <c r="G38" s="48"/>
    </row>
    <row r="39" spans="2:11" x14ac:dyDescent="0.25">
      <c r="B39" s="24" t="s">
        <v>69</v>
      </c>
      <c r="C39" s="12"/>
      <c r="D39" s="12"/>
      <c r="E39" s="12"/>
      <c r="F39" s="12"/>
      <c r="G39" s="13"/>
    </row>
    <row r="40" spans="2:11" ht="24" customHeight="1" thickBot="1" x14ac:dyDescent="0.3">
      <c r="B40" s="10"/>
      <c r="C40" s="11"/>
      <c r="D40" s="12"/>
      <c r="E40" s="118" t="s">
        <v>137</v>
      </c>
      <c r="F40" s="119" t="s">
        <v>138</v>
      </c>
      <c r="G40" s="133" t="s">
        <v>139</v>
      </c>
    </row>
    <row r="41" spans="2:11" ht="13.8" thickBot="1" x14ac:dyDescent="0.3">
      <c r="B41" s="14" t="s">
        <v>70</v>
      </c>
      <c r="C41" s="12" t="s">
        <v>71</v>
      </c>
      <c r="D41" s="15">
        <v>1.2</v>
      </c>
      <c r="E41" s="142">
        <f>D43*PI()/4*D41^2</f>
        <v>5.6548667764616276</v>
      </c>
      <c r="F41" s="144">
        <v>4</v>
      </c>
      <c r="G41" s="143">
        <f>E41*F41</f>
        <v>22.61946710584651</v>
      </c>
      <c r="H41" t="s">
        <v>140</v>
      </c>
    </row>
    <row r="42" spans="2:11" ht="13.8" thickBot="1" x14ac:dyDescent="0.3">
      <c r="B42" s="14" t="s">
        <v>72</v>
      </c>
      <c r="C42" s="12" t="s">
        <v>73</v>
      </c>
      <c r="D42" s="17">
        <v>1.8</v>
      </c>
      <c r="E42" s="12"/>
      <c r="F42" s="12"/>
      <c r="G42" s="140">
        <f>G41*1.28</f>
        <v>28.952917895483534</v>
      </c>
      <c r="H42" t="s">
        <v>141</v>
      </c>
    </row>
    <row r="43" spans="2:11" x14ac:dyDescent="0.25">
      <c r="B43" s="14" t="s">
        <v>74</v>
      </c>
      <c r="C43" s="10" t="s">
        <v>75</v>
      </c>
      <c r="D43" s="139">
        <v>5</v>
      </c>
      <c r="E43" s="12" t="s">
        <v>142</v>
      </c>
      <c r="F43" s="12"/>
      <c r="G43" s="13"/>
    </row>
    <row r="44" spans="2:11" x14ac:dyDescent="0.25">
      <c r="B44" s="14" t="s">
        <v>76</v>
      </c>
      <c r="C44" s="51" t="s">
        <v>77</v>
      </c>
      <c r="D44" s="17">
        <v>0.5</v>
      </c>
      <c r="E44" s="12" t="s">
        <v>78</v>
      </c>
      <c r="F44" s="12"/>
      <c r="G44" s="13"/>
    </row>
    <row r="45" spans="2:11" ht="13.8" thickBot="1" x14ac:dyDescent="0.3">
      <c r="B45" s="14" t="s">
        <v>80</v>
      </c>
      <c r="C45" s="18" t="s">
        <v>81</v>
      </c>
      <c r="D45" s="19">
        <v>1.5</v>
      </c>
      <c r="E45" s="12" t="s">
        <v>78</v>
      </c>
      <c r="F45" s="12"/>
      <c r="G45" s="13"/>
    </row>
    <row r="46" spans="2:11" ht="13.8" thickBot="1" x14ac:dyDescent="0.3">
      <c r="B46" s="10"/>
      <c r="C46" s="51"/>
      <c r="D46" s="51"/>
      <c r="E46" s="11"/>
      <c r="F46" s="51"/>
      <c r="G46" s="13"/>
    </row>
    <row r="47" spans="2:11" ht="13.8" thickBot="1" x14ac:dyDescent="0.3">
      <c r="B47" s="64" t="s">
        <v>65</v>
      </c>
      <c r="C47" s="12"/>
      <c r="D47" s="12"/>
      <c r="E47" s="69" t="s">
        <v>83</v>
      </c>
      <c r="F47" s="70">
        <f>(PI()*((D41/2)*(D41/2))*F35*D43*D42)/D16</f>
        <v>15.296916061304461</v>
      </c>
      <c r="G47" s="13" t="s">
        <v>22</v>
      </c>
      <c r="H47" s="120"/>
    </row>
    <row r="48" spans="2:11" ht="13.8" thickBot="1" x14ac:dyDescent="0.3">
      <c r="B48" s="10"/>
      <c r="C48" s="12"/>
      <c r="D48" s="12"/>
      <c r="E48" s="69"/>
      <c r="F48" s="71" t="s">
        <v>85</v>
      </c>
      <c r="G48" s="13"/>
    </row>
    <row r="49" spans="2:8" ht="13.8" thickBot="1" x14ac:dyDescent="0.3">
      <c r="B49" s="64" t="s">
        <v>68</v>
      </c>
      <c r="C49" s="12"/>
      <c r="D49" s="12"/>
      <c r="E49" s="103" t="s">
        <v>83</v>
      </c>
      <c r="F49" s="129">
        <f>(PI()*((D41/2)*(D41/2))*F37*D43*D42)/D16</f>
        <v>26.499037474102217</v>
      </c>
      <c r="G49" s="13" t="s">
        <v>22</v>
      </c>
      <c r="H49" s="120"/>
    </row>
    <row r="50" spans="2:8" ht="13.8" thickBot="1" x14ac:dyDescent="0.3">
      <c r="B50" s="10"/>
      <c r="C50" s="12"/>
      <c r="D50" s="12"/>
      <c r="E50" s="72" t="s">
        <v>89</v>
      </c>
      <c r="F50" s="130">
        <f>D24-D44-D44-D45-D45</f>
        <v>16</v>
      </c>
      <c r="G50" s="13" t="s">
        <v>22</v>
      </c>
    </row>
    <row r="51" spans="2:8" x14ac:dyDescent="0.25">
      <c r="B51" s="10"/>
      <c r="C51" s="12"/>
      <c r="D51" s="12"/>
      <c r="E51" s="12"/>
      <c r="F51" s="12"/>
      <c r="G51" s="13"/>
    </row>
    <row r="52" spans="2:8" ht="13.8" thickBot="1" x14ac:dyDescent="0.3">
      <c r="B52" s="10"/>
      <c r="C52" s="12"/>
      <c r="D52" s="12"/>
      <c r="E52" s="12"/>
      <c r="F52" s="12"/>
      <c r="G52" s="13"/>
    </row>
    <row r="53" spans="2:8" x14ac:dyDescent="0.25">
      <c r="B53" s="102" t="s">
        <v>90</v>
      </c>
      <c r="C53" s="104"/>
      <c r="D53" s="104"/>
      <c r="E53" s="104"/>
      <c r="F53" s="104"/>
      <c r="G53" s="60"/>
    </row>
    <row r="54" spans="2:8" ht="13.8" thickBot="1" x14ac:dyDescent="0.3">
      <c r="B54" s="28"/>
      <c r="C54" s="30"/>
      <c r="D54" s="30"/>
      <c r="E54" s="37"/>
      <c r="F54" s="30"/>
      <c r="G54" s="31"/>
    </row>
    <row r="55" spans="2:8" x14ac:dyDescent="0.25">
      <c r="B55" s="148" t="s">
        <v>65</v>
      </c>
      <c r="C55" s="30"/>
      <c r="D55" s="37"/>
      <c r="E55" s="39" t="s">
        <v>92</v>
      </c>
      <c r="F55" s="125">
        <f>D43*F35*(D13*2+D14+D15+D16*2)/1000</f>
        <v>27.065914995051596</v>
      </c>
      <c r="G55" s="31" t="s">
        <v>19</v>
      </c>
    </row>
    <row r="56" spans="2:8" x14ac:dyDescent="0.25">
      <c r="B56" s="28"/>
      <c r="C56" s="30"/>
      <c r="D56" s="37"/>
      <c r="E56" s="28" t="s">
        <v>93</v>
      </c>
      <c r="F56" s="126">
        <f>F55*D11</f>
        <v>324.79097994061914</v>
      </c>
      <c r="G56" s="31" t="s">
        <v>19</v>
      </c>
    </row>
    <row r="57" spans="2:8" ht="13.8" thickBot="1" x14ac:dyDescent="0.3">
      <c r="B57" s="28"/>
      <c r="C57" s="30"/>
      <c r="D57" s="37"/>
      <c r="E57" s="41" t="s">
        <v>94</v>
      </c>
      <c r="F57" s="127">
        <f>100*PI()*(D41/2)^2*(F55/100)*8.96*D11</f>
        <v>3291.2763013950353</v>
      </c>
      <c r="G57" s="31" t="s">
        <v>95</v>
      </c>
    </row>
    <row r="58" spans="2:8" ht="13.8" thickBot="1" x14ac:dyDescent="0.3">
      <c r="B58" s="28"/>
      <c r="C58" s="30"/>
      <c r="D58" s="37"/>
      <c r="E58" s="37"/>
      <c r="F58" s="74"/>
      <c r="G58" s="31"/>
    </row>
    <row r="59" spans="2:8" x14ac:dyDescent="0.25">
      <c r="B59" s="149" t="s">
        <v>68</v>
      </c>
      <c r="C59" s="30"/>
      <c r="D59" s="37"/>
      <c r="E59" s="39" t="s">
        <v>92</v>
      </c>
      <c r="F59" s="42">
        <f>D43*F37*(D13*2+D14+D15+D16*2)/1000</f>
        <v>46.886620339052548</v>
      </c>
      <c r="G59" s="31" t="s">
        <v>19</v>
      </c>
    </row>
    <row r="60" spans="2:8" x14ac:dyDescent="0.25">
      <c r="B60" s="28"/>
      <c r="C60" s="30"/>
      <c r="D60" s="37"/>
      <c r="E60" s="28" t="s">
        <v>93</v>
      </c>
      <c r="F60" s="73">
        <f>F59*D11</f>
        <v>562.63944406863061</v>
      </c>
      <c r="G60" s="31" t="s">
        <v>19</v>
      </c>
    </row>
    <row r="61" spans="2:8" ht="13.8" thickBot="1" x14ac:dyDescent="0.3">
      <c r="B61" s="28"/>
      <c r="C61" s="30"/>
      <c r="D61" s="37"/>
      <c r="E61" s="41" t="s">
        <v>94</v>
      </c>
      <c r="F61" s="121">
        <f>100*PI()*(D41/2)^2*(F59/100)*8.96*D11</f>
        <v>5701.5187701078466</v>
      </c>
      <c r="G61" s="31" t="s">
        <v>95</v>
      </c>
    </row>
    <row r="62" spans="2:8" ht="13.8" thickBot="1" x14ac:dyDescent="0.3">
      <c r="B62" s="68"/>
      <c r="C62" s="46"/>
      <c r="D62" s="46"/>
      <c r="E62" s="46"/>
      <c r="F62" s="46"/>
      <c r="G62" s="48"/>
    </row>
    <row r="63" spans="2:8" x14ac:dyDescent="0.25">
      <c r="B63" s="24" t="s">
        <v>96</v>
      </c>
      <c r="C63" s="12"/>
      <c r="D63" s="12"/>
      <c r="E63" s="12"/>
      <c r="F63" s="12"/>
      <c r="G63" s="13"/>
    </row>
    <row r="64" spans="2:8" ht="13.8" thickBot="1" x14ac:dyDescent="0.3">
      <c r="B64" s="10"/>
      <c r="C64" s="11"/>
      <c r="D64" s="12"/>
      <c r="E64" s="12"/>
      <c r="F64" s="12"/>
      <c r="G64" s="13"/>
    </row>
    <row r="65" spans="1:17" ht="13.8" thickBot="1" x14ac:dyDescent="0.3">
      <c r="B65" s="14" t="s">
        <v>97</v>
      </c>
      <c r="C65" s="75" t="s">
        <v>98</v>
      </c>
      <c r="D65" s="76">
        <v>1.78E-2</v>
      </c>
      <c r="E65" s="12"/>
      <c r="F65" s="12"/>
      <c r="G65" s="13"/>
    </row>
    <row r="66" spans="1:17" ht="13.8" thickBot="1" x14ac:dyDescent="0.3">
      <c r="B66" s="10"/>
      <c r="C66" s="12"/>
      <c r="D66" s="12"/>
      <c r="E66" s="11"/>
      <c r="F66" s="51"/>
      <c r="G66" s="13"/>
    </row>
    <row r="67" spans="1:17" ht="13.8" thickBot="1" x14ac:dyDescent="0.3">
      <c r="B67" s="64" t="s">
        <v>65</v>
      </c>
      <c r="C67" s="12"/>
      <c r="D67" s="13"/>
      <c r="E67" s="12" t="s">
        <v>99</v>
      </c>
      <c r="F67" s="152">
        <f>(((F55/D43)*D65*D11*2/D33)/((PI()*((D41/2)*(D41/2)))*D43))</f>
        <v>0.13631395566517643</v>
      </c>
      <c r="G67" s="13" t="s">
        <v>79</v>
      </c>
    </row>
    <row r="68" spans="1:17" ht="13.8" thickBot="1" x14ac:dyDescent="0.3">
      <c r="B68" s="10"/>
      <c r="C68" s="12"/>
      <c r="D68" s="13"/>
      <c r="E68" s="12"/>
      <c r="F68" s="13"/>
      <c r="G68" s="13"/>
      <c r="H68" s="3"/>
      <c r="I68" s="3"/>
    </row>
    <row r="69" spans="1:17" ht="13.8" thickBot="1" x14ac:dyDescent="0.3">
      <c r="B69" s="64" t="s">
        <v>68</v>
      </c>
      <c r="C69" s="12"/>
      <c r="D69" s="13"/>
      <c r="E69" s="77" t="s">
        <v>99</v>
      </c>
      <c r="F69" s="20">
        <f>((((F59/D43)*D65*D11*2/D33)/((PI()*((D41/2)*(D41/2)))*D43)))/3</f>
        <v>7.8712785525707346E-2</v>
      </c>
      <c r="G69" s="13" t="s">
        <v>79</v>
      </c>
      <c r="H69" s="3"/>
      <c r="I69" s="3"/>
    </row>
    <row r="70" spans="1:17" x14ac:dyDescent="0.25">
      <c r="B70" s="10"/>
      <c r="C70" s="12"/>
      <c r="D70" s="12"/>
      <c r="E70" s="12"/>
      <c r="F70" s="12"/>
      <c r="G70" s="13"/>
    </row>
    <row r="71" spans="1:17" ht="13.8" thickBot="1" x14ac:dyDescent="0.3">
      <c r="B71" s="21"/>
      <c r="C71" s="22"/>
      <c r="D71" s="22"/>
      <c r="E71" s="22"/>
      <c r="F71" s="22"/>
      <c r="G71" s="23"/>
    </row>
    <row r="72" spans="1:17" x14ac:dyDescent="0.25">
      <c r="B72" s="24" t="s">
        <v>100</v>
      </c>
      <c r="C72" s="30"/>
      <c r="D72" s="30"/>
      <c r="E72" s="30"/>
      <c r="F72" s="30"/>
      <c r="G72" s="31"/>
    </row>
    <row r="73" spans="1:17" ht="13.8" x14ac:dyDescent="0.25">
      <c r="B73" s="98" t="s">
        <v>101</v>
      </c>
      <c r="C73" s="30"/>
      <c r="D73" s="30"/>
      <c r="E73" s="30"/>
      <c r="F73" s="30"/>
      <c r="G73" s="31"/>
    </row>
    <row r="74" spans="1:17" ht="13.8" thickBot="1" x14ac:dyDescent="0.3">
      <c r="B74" s="28"/>
      <c r="C74" s="30"/>
      <c r="D74" s="30"/>
      <c r="E74" s="146" t="s">
        <v>65</v>
      </c>
      <c r="F74" s="30"/>
      <c r="G74" s="31"/>
    </row>
    <row r="75" spans="1:17" x14ac:dyDescent="0.25">
      <c r="B75" s="78" t="s">
        <v>102</v>
      </c>
      <c r="C75" s="37" t="s">
        <v>103</v>
      </c>
      <c r="D75" s="79">
        <v>1.23</v>
      </c>
      <c r="E75" s="80" t="s">
        <v>88</v>
      </c>
      <c r="F75" s="81">
        <f>0.5*D75*D76*0.01*D78^3*D7^2*0.25*PI()</f>
        <v>912.69889064097254</v>
      </c>
      <c r="G75" s="31" t="s">
        <v>104</v>
      </c>
    </row>
    <row r="76" spans="1:17" x14ac:dyDescent="0.25">
      <c r="B76" s="78" t="s">
        <v>105</v>
      </c>
      <c r="C76" s="37" t="s">
        <v>91</v>
      </c>
      <c r="D76" s="82">
        <v>45</v>
      </c>
      <c r="E76" s="80" t="s">
        <v>117</v>
      </c>
      <c r="F76" s="83">
        <f>(D41^4*D32^2*F25^2*D80^2*D13*0.001*D11*2*F35*D43*PI())/(144*10^8*D65)</f>
        <v>147.92031893550725</v>
      </c>
      <c r="G76" s="31" t="s">
        <v>104</v>
      </c>
      <c r="H76" s="27" t="s">
        <v>144</v>
      </c>
    </row>
    <row r="77" spans="1:17" x14ac:dyDescent="0.25">
      <c r="B77" s="78" t="s">
        <v>107</v>
      </c>
      <c r="C77" s="37" t="s">
        <v>84</v>
      </c>
      <c r="D77" s="84">
        <v>1.8</v>
      </c>
      <c r="E77" s="80" t="s">
        <v>119</v>
      </c>
      <c r="F77" s="83">
        <f>F75-F76</f>
        <v>764.77857170546531</v>
      </c>
      <c r="G77" s="31" t="s">
        <v>104</v>
      </c>
    </row>
    <row r="78" spans="1:17" ht="13.8" thickBot="1" x14ac:dyDescent="0.3">
      <c r="B78" s="78" t="s">
        <v>109</v>
      </c>
      <c r="C78" s="37" t="s">
        <v>28</v>
      </c>
      <c r="D78" s="87">
        <v>9</v>
      </c>
      <c r="E78" s="80" t="s">
        <v>106</v>
      </c>
      <c r="F78" s="83">
        <f>SQRT((D29*D29+2*F77*F67)/(2*F67*F67)-SQRT((D29^2+2*F77*F67)^2/(4*F67^4)-(F77^2/F67^2)))</f>
        <v>27.553679257947859</v>
      </c>
      <c r="G78" s="31" t="s">
        <v>87</v>
      </c>
    </row>
    <row r="79" spans="1:17" ht="13.8" thickBot="1" x14ac:dyDescent="0.3">
      <c r="A79" s="89"/>
      <c r="B79" s="28"/>
      <c r="C79" s="30"/>
      <c r="D79" s="31"/>
      <c r="E79" s="85" t="s">
        <v>108</v>
      </c>
      <c r="F79" s="86">
        <f>F77-F78^2*F67</f>
        <v>661.28830219074985</v>
      </c>
      <c r="G79" s="31" t="s">
        <v>104</v>
      </c>
    </row>
    <row r="80" spans="1:17" ht="13.8" thickBot="1" x14ac:dyDescent="0.3">
      <c r="A80" s="90"/>
      <c r="B80" s="78" t="s">
        <v>120</v>
      </c>
      <c r="C80" s="37" t="s">
        <v>82</v>
      </c>
      <c r="D80" s="151">
        <f>D78*60*D5/(D7*PI())</f>
        <v>562.49999999999989</v>
      </c>
      <c r="E80" s="85" t="s">
        <v>110</v>
      </c>
      <c r="F80" s="86">
        <f>F79*100/F75</f>
        <v>72.454158646597961</v>
      </c>
      <c r="G80" s="31" t="s">
        <v>91</v>
      </c>
      <c r="Q80" s="123"/>
    </row>
    <row r="81" spans="1:9" x14ac:dyDescent="0.25">
      <c r="A81" s="92"/>
      <c r="B81" s="28"/>
      <c r="C81" s="30"/>
      <c r="D81" s="31"/>
      <c r="E81" s="85" t="s">
        <v>111</v>
      </c>
      <c r="F81" s="88">
        <f>F78^2*F67</f>
        <v>103.49026951471545</v>
      </c>
      <c r="G81" s="31" t="s">
        <v>104</v>
      </c>
    </row>
    <row r="82" spans="1:9" x14ac:dyDescent="0.25">
      <c r="A82" s="92"/>
      <c r="B82" s="28"/>
      <c r="C82" s="37"/>
      <c r="D82" s="91"/>
      <c r="E82" s="80" t="s">
        <v>112</v>
      </c>
      <c r="F82" s="83">
        <f>D77*F78</f>
        <v>49.596622664306146</v>
      </c>
      <c r="G82" s="31" t="s">
        <v>104</v>
      </c>
    </row>
    <row r="83" spans="1:9" x14ac:dyDescent="0.25">
      <c r="B83" s="28"/>
      <c r="C83" s="37"/>
      <c r="D83" s="91"/>
      <c r="E83" s="80" t="s">
        <v>113</v>
      </c>
      <c r="F83" s="86">
        <f>F79-F82</f>
        <v>611.69167952644375</v>
      </c>
      <c r="G83" s="31" t="s">
        <v>104</v>
      </c>
      <c r="H83" s="132"/>
      <c r="I83" s="132"/>
    </row>
    <row r="84" spans="1:9" x14ac:dyDescent="0.25">
      <c r="B84" s="78"/>
      <c r="C84" s="37"/>
      <c r="D84" s="91"/>
      <c r="E84" s="80" t="s">
        <v>114</v>
      </c>
      <c r="F84" s="141">
        <f>F83/D29</f>
        <v>25.487153313601823</v>
      </c>
      <c r="G84" s="31" t="s">
        <v>87</v>
      </c>
      <c r="H84" s="1" t="s">
        <v>143</v>
      </c>
    </row>
    <row r="85" spans="1:9" x14ac:dyDescent="0.25">
      <c r="B85" s="78"/>
      <c r="C85" s="37"/>
      <c r="D85" s="91"/>
      <c r="E85" s="85" t="s">
        <v>115</v>
      </c>
      <c r="F85" s="86">
        <f>F83/F75*100</f>
        <v>67.020096748103128</v>
      </c>
      <c r="G85" s="31" t="s">
        <v>91</v>
      </c>
      <c r="H85" s="3"/>
      <c r="I85" s="3"/>
    </row>
    <row r="86" spans="1:9" ht="13.8" thickBot="1" x14ac:dyDescent="0.3">
      <c r="B86" s="78"/>
      <c r="C86" s="37"/>
      <c r="D86" s="37"/>
      <c r="E86" s="101" t="s">
        <v>116</v>
      </c>
      <c r="F86" s="100">
        <f>F83/F75*D76</f>
        <v>30.159043536646408</v>
      </c>
      <c r="G86" s="31" t="s">
        <v>91</v>
      </c>
      <c r="H86" s="3"/>
      <c r="I86" s="3"/>
    </row>
    <row r="87" spans="1:9" x14ac:dyDescent="0.25">
      <c r="B87" s="78"/>
      <c r="C87" s="37"/>
      <c r="D87" s="37"/>
      <c r="E87" s="105"/>
      <c r="F87" s="37"/>
      <c r="G87" s="31"/>
      <c r="H87" s="3"/>
      <c r="I87" s="3"/>
    </row>
    <row r="88" spans="1:9" x14ac:dyDescent="0.25">
      <c r="B88" s="78"/>
      <c r="C88" s="37"/>
      <c r="D88" s="37"/>
      <c r="E88" s="37"/>
      <c r="F88" s="37"/>
      <c r="G88" s="31"/>
    </row>
    <row r="89" spans="1:9" ht="13.8" thickBot="1" x14ac:dyDescent="0.3">
      <c r="B89" s="78"/>
      <c r="C89" s="37"/>
      <c r="D89" s="94"/>
      <c r="E89" s="147" t="s">
        <v>68</v>
      </c>
      <c r="F89" s="45"/>
      <c r="G89" s="31"/>
    </row>
    <row r="90" spans="1:9" x14ac:dyDescent="0.25">
      <c r="B90" s="78"/>
      <c r="C90" s="94"/>
      <c r="D90" s="31"/>
      <c r="E90" s="80" t="s">
        <v>88</v>
      </c>
      <c r="F90" s="81">
        <f>(0.5*D75*(PI()*((D7/2)*(D7/2)))*(D78*D78*D78)*(D76/100))</f>
        <v>912.69889064097265</v>
      </c>
      <c r="G90" s="31" t="s">
        <v>104</v>
      </c>
    </row>
    <row r="91" spans="1:9" x14ac:dyDescent="0.25">
      <c r="B91" s="78"/>
      <c r="C91" s="94"/>
      <c r="D91" s="31"/>
      <c r="E91" s="80" t="s">
        <v>117</v>
      </c>
      <c r="F91" s="83">
        <f>(D41^4*D32^2*F25^2*D80^2*D13*0.001*D11*2*PI()*F37*D43)/(144*10^8*D65)</f>
        <v>256.24420366459788</v>
      </c>
      <c r="G91" s="31" t="s">
        <v>104</v>
      </c>
    </row>
    <row r="92" spans="1:9" x14ac:dyDescent="0.25">
      <c r="B92" s="78"/>
      <c r="C92" s="94"/>
      <c r="D92" s="31"/>
      <c r="E92" s="80" t="s">
        <v>119</v>
      </c>
      <c r="F92" s="83">
        <f>F90-F91</f>
        <v>656.45468697637477</v>
      </c>
      <c r="G92" s="31" t="s">
        <v>104</v>
      </c>
    </row>
    <row r="93" spans="1:9" x14ac:dyDescent="0.25">
      <c r="B93" s="78"/>
      <c r="C93" s="94"/>
      <c r="D93" s="31"/>
      <c r="E93" s="80" t="s">
        <v>106</v>
      </c>
      <c r="F93" s="83">
        <f>SQRT((D29*D29+2*F92*F69)/(2*F69*F69)-SQRT((D29^2+2*F92*F69)^2/(4*F69^4)-(F92^2/F69^2)))</f>
        <v>25.259664319742445</v>
      </c>
      <c r="G93" s="31" t="s">
        <v>87</v>
      </c>
    </row>
    <row r="94" spans="1:9" x14ac:dyDescent="0.25">
      <c r="B94" s="28"/>
      <c r="C94" s="37"/>
      <c r="D94" s="31"/>
      <c r="E94" s="85" t="s">
        <v>108</v>
      </c>
      <c r="F94" s="86">
        <f>F92-F93^2*F69</f>
        <v>606.23194367381905</v>
      </c>
      <c r="G94" s="31" t="s">
        <v>104</v>
      </c>
    </row>
    <row r="95" spans="1:9" x14ac:dyDescent="0.25">
      <c r="B95" s="78"/>
      <c r="C95" s="94"/>
      <c r="D95" s="31"/>
      <c r="E95" s="85" t="s">
        <v>110</v>
      </c>
      <c r="F95" s="86">
        <f>F94*100/F90</f>
        <v>66.421899915762239</v>
      </c>
      <c r="G95" s="31" t="s">
        <v>91</v>
      </c>
    </row>
    <row r="96" spans="1:9" x14ac:dyDescent="0.25">
      <c r="B96" s="78"/>
      <c r="C96" s="94"/>
      <c r="D96" s="31"/>
      <c r="E96" s="85" t="s">
        <v>111</v>
      </c>
      <c r="F96" s="88">
        <f>F93^2*F69</f>
        <v>50.222743302555749</v>
      </c>
      <c r="G96" s="31" t="s">
        <v>104</v>
      </c>
    </row>
    <row r="97" spans="2:9" x14ac:dyDescent="0.25">
      <c r="B97" s="36"/>
      <c r="C97" s="74"/>
      <c r="D97" s="31"/>
      <c r="E97" s="80" t="s">
        <v>112</v>
      </c>
      <c r="F97" s="83">
        <f>D77*F93</f>
        <v>45.467395775536403</v>
      </c>
      <c r="G97" s="31" t="s">
        <v>104</v>
      </c>
      <c r="H97" s="131"/>
      <c r="I97" s="131"/>
    </row>
    <row r="98" spans="2:9" x14ac:dyDescent="0.25">
      <c r="B98" s="36"/>
      <c r="C98" s="74"/>
      <c r="D98" s="31"/>
      <c r="E98" s="80" t="s">
        <v>113</v>
      </c>
      <c r="F98" s="83">
        <f>F94-F97</f>
        <v>560.76454789828267</v>
      </c>
      <c r="G98" s="31" t="s">
        <v>104</v>
      </c>
    </row>
    <row r="99" spans="2:9" x14ac:dyDescent="0.25">
      <c r="B99" s="36"/>
      <c r="C99" s="74"/>
      <c r="D99" s="31"/>
      <c r="E99" s="80" t="s">
        <v>114</v>
      </c>
      <c r="F99" s="83">
        <f>F98/D29</f>
        <v>23.365189495761779</v>
      </c>
      <c r="G99" s="31" t="s">
        <v>87</v>
      </c>
    </row>
    <row r="100" spans="2:9" x14ac:dyDescent="0.25">
      <c r="B100" s="36"/>
      <c r="C100" s="74"/>
      <c r="D100" s="31"/>
      <c r="E100" s="85" t="s">
        <v>115</v>
      </c>
      <c r="F100" s="86">
        <f>F98*100/F90</f>
        <v>61.440257422080073</v>
      </c>
      <c r="G100" s="31" t="s">
        <v>91</v>
      </c>
    </row>
    <row r="101" spans="2:9" ht="13.8" thickBot="1" x14ac:dyDescent="0.3">
      <c r="B101" s="36"/>
      <c r="C101" s="74"/>
      <c r="D101" s="31"/>
      <c r="E101" s="95" t="s">
        <v>116</v>
      </c>
      <c r="F101" s="93">
        <f>F95*D76/100</f>
        <v>29.889854962093008</v>
      </c>
      <c r="G101" s="31" t="s">
        <v>91</v>
      </c>
    </row>
    <row r="102" spans="2:9" ht="13.8" thickBot="1" x14ac:dyDescent="0.3">
      <c r="B102" s="68"/>
      <c r="C102" s="46"/>
      <c r="D102" s="46"/>
      <c r="E102" s="96"/>
      <c r="F102" s="97"/>
      <c r="G102" s="48"/>
    </row>
    <row r="142" spans="1:1" x14ac:dyDescent="0.25">
      <c r="A142" s="30"/>
    </row>
  </sheetData>
  <sheetProtection selectLockedCells="1" selectUnlockedCells="1"/>
  <conditionalFormatting sqref="F47">
    <cfRule type="cellIs" dxfId="1" priority="1" stopIfTrue="1" operator="greaterThan">
      <formula>$D$24-(2*$D$44)-(2*$D$45)</formula>
    </cfRule>
  </conditionalFormatting>
  <conditionalFormatting sqref="F49">
    <cfRule type="cellIs" dxfId="0" priority="2" stopIfTrue="1" operator="greaterThan">
      <formula>$D$24-(2*$D$44)-(2*$D$45)</formula>
    </cfRule>
  </conditionalFormatting>
  <dataValidations count="1">
    <dataValidation type="list" allowBlank="1" showErrorMessage="1" sqref="D25">
      <formula1>$I$21:$I$26</formula1>
      <formula2>0</formula2>
    </dataValidation>
  </dataValidation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3"/>
  <sheetViews>
    <sheetView zoomScaleNormal="100" workbookViewId="0">
      <selection activeCell="F1" sqref="F1"/>
    </sheetView>
  </sheetViews>
  <sheetFormatPr baseColWidth="10" defaultRowHeight="13.2" x14ac:dyDescent="0.25"/>
  <cols>
    <col min="1" max="1" width="15.109375" customWidth="1"/>
    <col min="2" max="2" width="11.44140625" customWidth="1"/>
    <col min="3" max="3" width="18.109375" customWidth="1"/>
    <col min="4" max="4" width="10.6640625" customWidth="1"/>
    <col min="5" max="5" width="20.109375" customWidth="1"/>
    <col min="6" max="6" width="10" customWidth="1"/>
    <col min="7" max="7" width="11.44140625" customWidth="1"/>
    <col min="8" max="8" width="18.88671875" customWidth="1"/>
    <col min="9" max="9" width="15.6640625" customWidth="1"/>
    <col min="12" max="12" width="13.109375" customWidth="1"/>
  </cols>
  <sheetData>
    <row r="1" spans="1:23" ht="24.6" x14ac:dyDescent="0.4">
      <c r="A1" s="107" t="s">
        <v>127</v>
      </c>
    </row>
    <row r="3" spans="1:23" ht="15.6" x14ac:dyDescent="0.3">
      <c r="A3" s="114" t="s">
        <v>123</v>
      </c>
      <c r="B3" s="109" t="s">
        <v>118</v>
      </c>
      <c r="C3" s="109" t="s">
        <v>124</v>
      </c>
      <c r="D3" s="109" t="s">
        <v>130</v>
      </c>
      <c r="E3" s="109" t="s">
        <v>128</v>
      </c>
      <c r="F3" s="109" t="s">
        <v>86</v>
      </c>
      <c r="G3" s="109" t="s">
        <v>129</v>
      </c>
      <c r="H3" s="109" t="s">
        <v>131</v>
      </c>
      <c r="I3" s="109" t="s">
        <v>133</v>
      </c>
      <c r="J3" s="109" t="s">
        <v>132</v>
      </c>
      <c r="K3" s="109" t="s">
        <v>134</v>
      </c>
      <c r="L3" s="114" t="s">
        <v>136</v>
      </c>
    </row>
    <row r="4" spans="1:23" x14ac:dyDescent="0.25">
      <c r="A4" s="115" t="s">
        <v>121</v>
      </c>
      <c r="B4" s="110" t="s">
        <v>122</v>
      </c>
      <c r="C4" s="110" t="s">
        <v>122</v>
      </c>
      <c r="D4" s="110" t="s">
        <v>122</v>
      </c>
      <c r="E4" s="110" t="s">
        <v>125</v>
      </c>
      <c r="F4" s="110" t="s">
        <v>126</v>
      </c>
      <c r="G4" s="110" t="s">
        <v>122</v>
      </c>
      <c r="H4" s="110" t="s">
        <v>122</v>
      </c>
      <c r="I4" s="110" t="s">
        <v>122</v>
      </c>
      <c r="J4" s="110" t="s">
        <v>122</v>
      </c>
      <c r="K4" s="110" t="s">
        <v>135</v>
      </c>
      <c r="L4" s="115" t="s">
        <v>135</v>
      </c>
    </row>
    <row r="5" spans="1:23" ht="13.8" thickBot="1" x14ac:dyDescent="0.3">
      <c r="A5" s="116"/>
      <c r="B5" s="117"/>
      <c r="C5" s="117"/>
      <c r="D5" s="117"/>
      <c r="E5" s="117"/>
      <c r="F5" s="117"/>
      <c r="G5" s="117"/>
      <c r="H5" s="117"/>
      <c r="I5" s="117"/>
      <c r="J5" s="117"/>
      <c r="K5" s="117"/>
      <c r="L5" s="116"/>
      <c r="U5" s="108"/>
      <c r="V5" s="108"/>
      <c r="W5" s="108"/>
    </row>
    <row r="6" spans="1:23" x14ac:dyDescent="0.25">
      <c r="B6" s="112"/>
      <c r="C6" s="112"/>
      <c r="D6" s="112"/>
      <c r="E6" s="112"/>
      <c r="F6" s="112"/>
      <c r="G6" s="112"/>
      <c r="H6" s="112"/>
      <c r="I6" s="112"/>
      <c r="J6" s="112"/>
      <c r="K6" s="112"/>
      <c r="U6" s="108"/>
      <c r="V6" s="108"/>
      <c r="W6" s="108"/>
    </row>
    <row r="7" spans="1:23" x14ac:dyDescent="0.25">
      <c r="A7" s="106">
        <v>1</v>
      </c>
      <c r="B7" s="111">
        <f>A7^3*Sheet!$D$75/2*Sheet!$D$7^2/4*PI()*Sheet!$D$76/100</f>
        <v>1.2519875043086044</v>
      </c>
      <c r="C7" s="111">
        <f>(Sheet!$D$41^4*Sheet!$D$32^2*Sheet!$F$25^2*(Sheet!$D$5*60*Stern!A7/(PI()*Sheet!$D$7))^2*Sheet!$D$13*0.001*Sheet!$D$11*2*Sheet!$F$35*Sheet!$D$43*PI())/(144*10^8*Sheet!$D$65)</f>
        <v>1.8261767769815707</v>
      </c>
      <c r="D7" s="111">
        <f>B7-C7</f>
        <v>-0.57418927267296627</v>
      </c>
      <c r="E7" s="111">
        <f>Sheet!D29</f>
        <v>24</v>
      </c>
      <c r="F7" s="113">
        <f>(-Sheet!$D$29+SQRT(Sheet!$D$29^2+4*Sheet!$F$67*D7))/(2*Sheet!$F$67)</f>
        <v>-2.392780491018151E-2</v>
      </c>
      <c r="G7" s="111">
        <f>F7^2*Sheet!$F$67</f>
        <v>7.8045171432242319E-5</v>
      </c>
      <c r="H7" s="111">
        <f>F7*Sheet!$D$77</f>
        <v>-4.307004883832672E-2</v>
      </c>
      <c r="I7" s="111">
        <f>H7+G7</f>
        <v>-4.2992003666894478E-2</v>
      </c>
      <c r="J7" s="111">
        <f>IF(I7&gt;0,D7-I7,0)</f>
        <v>0</v>
      </c>
      <c r="K7" s="111">
        <f>E7*F7/B7*100</f>
        <v>-45.868454426906503</v>
      </c>
      <c r="L7" s="106">
        <f>J7/(B7/Sheet!$D$76)</f>
        <v>0</v>
      </c>
      <c r="N7" s="131"/>
      <c r="U7" s="108"/>
      <c r="V7" s="108"/>
      <c r="W7" s="108"/>
    </row>
    <row r="8" spans="1:23" x14ac:dyDescent="0.25">
      <c r="A8" s="106">
        <v>1.5</v>
      </c>
      <c r="B8" s="111">
        <f>A8^3*Sheet!$D$75/2*Sheet!$D$7^2/4*PI()*Sheet!$D$76/100</f>
        <v>4.2254578270415397</v>
      </c>
      <c r="C8" s="111">
        <f>(Sheet!$D$41^4*Sheet!$D$32^2*Sheet!$F$25^2*(Sheet!$D$5*60*Stern!A8/(PI()*Sheet!$D$7))^2*Sheet!$D$13*0.001*Sheet!$D$11*2*Sheet!$F$35*Sheet!$D$43*PI())/(144*10^8*Sheet!$D$65)</f>
        <v>4.1088977482085332</v>
      </c>
      <c r="D8" s="111">
        <f t="shared" ref="D8:D29" si="0">B8-C8</f>
        <v>0.11656007883300656</v>
      </c>
      <c r="E8" s="111">
        <f>E7</f>
        <v>24</v>
      </c>
      <c r="F8" s="113">
        <f>(-Sheet!$D$29+SQRT(Sheet!$D$29^2+4*Sheet!$F$67*D8))/(2*Sheet!$F$67)</f>
        <v>4.8565359891685686E-3</v>
      </c>
      <c r="G8" s="111">
        <f>F8^2*Sheet!$F$67</f>
        <v>3.2150930267672308E-6</v>
      </c>
      <c r="H8" s="111">
        <f>F8*Sheet!$D$77</f>
        <v>8.7417647805034231E-3</v>
      </c>
      <c r="I8" s="111">
        <f t="shared" ref="I8:I29" si="1">H8+G8</f>
        <v>8.7449798735301908E-3</v>
      </c>
      <c r="J8" s="111">
        <f t="shared" ref="J8:J28" si="2">IF(I8&gt;0,D8-I8,0)</f>
        <v>0.10781509895947637</v>
      </c>
      <c r="K8" s="111">
        <f t="shared" ref="K8:K29" si="3">E8*F8/B8*100</f>
        <v>2.7584434281681873</v>
      </c>
      <c r="L8" s="106">
        <f>J8/(B8/Sheet!$D$76)</f>
        <v>1.1482020769743069</v>
      </c>
      <c r="N8" s="131"/>
      <c r="U8" s="108"/>
      <c r="V8" s="108"/>
      <c r="W8" s="108"/>
    </row>
    <row r="9" spans="1:23" x14ac:dyDescent="0.25">
      <c r="A9" s="106">
        <v>2</v>
      </c>
      <c r="B9" s="111">
        <f>A9^3*Sheet!$D$75/2*Sheet!$D$7^2/4*PI()*Sheet!$D$76/100</f>
        <v>10.015900034468835</v>
      </c>
      <c r="C9" s="111">
        <f>(Sheet!$D$41^4*Sheet!$D$32^2*Sheet!$F$25^2*(Sheet!$D$5*60*Stern!A9/(PI()*Sheet!$D$7))^2*Sheet!$D$13*0.001*Sheet!$D$11*2*Sheet!$F$35*Sheet!$D$43*PI())/(144*10^8*Sheet!$D$65)</f>
        <v>7.3047071079262826</v>
      </c>
      <c r="D9" s="111">
        <f t="shared" si="0"/>
        <v>2.7111929265425525</v>
      </c>
      <c r="E9" s="111">
        <f t="shared" ref="E9:E29" si="4">E8</f>
        <v>24</v>
      </c>
      <c r="F9" s="113">
        <f>(-Sheet!$D$29+SQRT(Sheet!$D$29^2+4*Sheet!$F$67*D9))/(2*Sheet!$F$67)</f>
        <v>0.1128939832568024</v>
      </c>
      <c r="G9" s="111">
        <f>F9^2*Sheet!$F$67</f>
        <v>1.7373283790673034E-3</v>
      </c>
      <c r="H9" s="111">
        <f>F9*Sheet!$D$77</f>
        <v>0.20320916986224433</v>
      </c>
      <c r="I9" s="111">
        <f t="shared" si="1"/>
        <v>0.20494649824131164</v>
      </c>
      <c r="J9" s="111">
        <f t="shared" si="2"/>
        <v>2.5062464283012407</v>
      </c>
      <c r="K9" s="111">
        <f t="shared" si="3"/>
        <v>27.051543933534738</v>
      </c>
      <c r="L9" s="106">
        <f>J9/(B9/Sheet!$D$76)</f>
        <v>11.260205162334856</v>
      </c>
      <c r="N9" s="131"/>
      <c r="U9" s="108"/>
      <c r="V9" s="108"/>
      <c r="W9" s="108"/>
    </row>
    <row r="10" spans="1:23" x14ac:dyDescent="0.25">
      <c r="A10" s="106">
        <v>2.5</v>
      </c>
      <c r="B10" s="111">
        <f>A10^3*Sheet!$D$75/2*Sheet!$D$7^2/4*PI()*Sheet!$D$76/100</f>
        <v>19.562304754821941</v>
      </c>
      <c r="C10" s="111">
        <f>(Sheet!$D$41^4*Sheet!$D$32^2*Sheet!$F$25^2*(Sheet!$D$5*60*Stern!A10/(PI()*Sheet!$D$7))^2*Sheet!$D$13*0.001*Sheet!$D$11*2*Sheet!$F$35*Sheet!$D$43*PI())/(144*10^8*Sheet!$D$65)</f>
        <v>11.413604856134819</v>
      </c>
      <c r="D10" s="111">
        <f t="shared" si="0"/>
        <v>8.1486998986871217</v>
      </c>
      <c r="E10" s="111">
        <f t="shared" si="4"/>
        <v>24</v>
      </c>
      <c r="F10" s="113">
        <f>(-Sheet!$D$29+SQRT(Sheet!$D$29^2+4*Sheet!$F$67*D10))/(2*Sheet!$F$67)</f>
        <v>0.33887691400984737</v>
      </c>
      <c r="G10" s="111">
        <f>F10^2*Sheet!$F$67</f>
        <v>1.5653962450873346E-2</v>
      </c>
      <c r="H10" s="111">
        <f>F10*Sheet!$D$77</f>
        <v>0.60997844521772526</v>
      </c>
      <c r="I10" s="111">
        <f t="shared" si="1"/>
        <v>0.62563240766859862</v>
      </c>
      <c r="J10" s="111">
        <f t="shared" si="2"/>
        <v>7.5230674910185229</v>
      </c>
      <c r="K10" s="111">
        <f t="shared" si="3"/>
        <v>41.575090656082388</v>
      </c>
      <c r="L10" s="106">
        <f>J10/(B10/Sheet!$D$76)</f>
        <v>17.305631485594088</v>
      </c>
      <c r="N10" s="131"/>
      <c r="U10" s="108"/>
      <c r="V10" s="108"/>
      <c r="W10" s="108"/>
    </row>
    <row r="11" spans="1:23" x14ac:dyDescent="0.25">
      <c r="A11" s="106">
        <v>3</v>
      </c>
      <c r="B11" s="111">
        <f>A11^3*Sheet!$D$75/2*Sheet!$D$7^2/4*PI()*Sheet!$D$76/100</f>
        <v>33.803662616332318</v>
      </c>
      <c r="C11" s="111">
        <f>(Sheet!$D$41^4*Sheet!$D$32^2*Sheet!$F$25^2*(Sheet!$D$5*60*Stern!A11/(PI()*Sheet!$D$7))^2*Sheet!$D$13*0.001*Sheet!$D$11*2*Sheet!$F$35*Sheet!$D$43*PI())/(144*10^8*Sheet!$D$65)</f>
        <v>16.435590992834133</v>
      </c>
      <c r="D11" s="111">
        <f t="shared" si="0"/>
        <v>17.368071623498185</v>
      </c>
      <c r="E11" s="111">
        <f t="shared" si="4"/>
        <v>24</v>
      </c>
      <c r="F11" s="113">
        <f>(-Sheet!$D$29+SQRT(Sheet!$D$29^2+4*Sheet!$F$67*D11))/(2*Sheet!$F$67)</f>
        <v>0.7207193828818127</v>
      </c>
      <c r="G11" s="111">
        <f>F11^2*Sheet!$F$67</f>
        <v>7.0806434334709664E-2</v>
      </c>
      <c r="H11" s="111">
        <f>F11*Sheet!$D$77</f>
        <v>1.2972948891872629</v>
      </c>
      <c r="I11" s="111">
        <f t="shared" si="1"/>
        <v>1.3681013235219726</v>
      </c>
      <c r="J11" s="111">
        <f t="shared" si="2"/>
        <v>15.999970299976212</v>
      </c>
      <c r="K11" s="111">
        <f t="shared" si="3"/>
        <v>51.169795964080798</v>
      </c>
      <c r="L11" s="106">
        <f>J11/(B11/Sheet!$D$76)</f>
        <v>21.299427570048596</v>
      </c>
      <c r="N11" s="131"/>
      <c r="U11" s="108"/>
      <c r="V11" s="108"/>
      <c r="W11" s="108"/>
    </row>
    <row r="12" spans="1:23" x14ac:dyDescent="0.25">
      <c r="A12" s="106">
        <v>3.5</v>
      </c>
      <c r="B12" s="111">
        <f>A12^3*Sheet!$D$75/2*Sheet!$D$7^2/4*PI()*Sheet!$D$76/100</f>
        <v>53.678964247231406</v>
      </c>
      <c r="C12" s="111">
        <f>(Sheet!$D$41^4*Sheet!$D$32^2*Sheet!$F$25^2*(Sheet!$D$5*60*Stern!A12/(PI()*Sheet!$D$7))^2*Sheet!$D$13*0.001*Sheet!$D$11*2*Sheet!$F$35*Sheet!$D$43*PI())/(144*10^8*Sheet!$D$65)</f>
        <v>22.370665518024236</v>
      </c>
      <c r="D12" s="111">
        <f t="shared" si="0"/>
        <v>31.30829872920717</v>
      </c>
      <c r="E12" s="111">
        <f t="shared" si="4"/>
        <v>24</v>
      </c>
      <c r="F12" s="113">
        <f>(-Sheet!$D$29+SQRT(Sheet!$D$29^2+4*Sheet!$F$67*D12))/(2*Sheet!$F$67)</f>
        <v>1.294987550541961</v>
      </c>
      <c r="G12" s="111">
        <f>F12^2*Sheet!$F$67</f>
        <v>0.22859751620020333</v>
      </c>
      <c r="H12" s="111">
        <f>F12*Sheet!$D$77</f>
        <v>2.3309775909755297</v>
      </c>
      <c r="I12" s="111">
        <f t="shared" si="1"/>
        <v>2.5595751071757329</v>
      </c>
      <c r="J12" s="111">
        <f t="shared" si="2"/>
        <v>28.748723622031438</v>
      </c>
      <c r="K12" s="111">
        <f t="shared" si="3"/>
        <v>57.899219273050818</v>
      </c>
      <c r="L12" s="106">
        <f>J12/(B12/Sheet!$D$76)</f>
        <v>24.100550022407322</v>
      </c>
      <c r="N12" s="131"/>
      <c r="U12" s="108"/>
      <c r="V12" s="108"/>
      <c r="W12" s="108"/>
    </row>
    <row r="13" spans="1:23" x14ac:dyDescent="0.25">
      <c r="A13" s="106">
        <v>4</v>
      </c>
      <c r="B13" s="111">
        <f>A13^3*Sheet!$D$75/2*Sheet!$D$7^2/4*PI()*Sheet!$D$76/100</f>
        <v>80.127200275750681</v>
      </c>
      <c r="C13" s="111">
        <f>(Sheet!$D$41^4*Sheet!$D$32^2*Sheet!$F$25^2*(Sheet!$D$5*60*Stern!A13/(PI()*Sheet!$D$7))^2*Sheet!$D$13*0.001*Sheet!$D$11*2*Sheet!$F$35*Sheet!$D$43*PI())/(144*10^8*Sheet!$D$65)</f>
        <v>29.218828431705131</v>
      </c>
      <c r="D13" s="111">
        <f t="shared" si="0"/>
        <v>50.908371844045547</v>
      </c>
      <c r="E13" s="111">
        <f t="shared" si="4"/>
        <v>24</v>
      </c>
      <c r="F13" s="113">
        <f>(-Sheet!$D$29+SQRT(Sheet!$D$29^2+4*Sheet!$F$67*D13))/(2*Sheet!$F$67)</f>
        <v>2.0962244552536231</v>
      </c>
      <c r="G13" s="111">
        <f>F13^2*Sheet!$F$67</f>
        <v>0.59898491795865783</v>
      </c>
      <c r="H13" s="111">
        <f>F13*Sheet!$D$77</f>
        <v>3.7732040194565215</v>
      </c>
      <c r="I13" s="111">
        <f t="shared" si="1"/>
        <v>4.3721889374151797</v>
      </c>
      <c r="J13" s="111">
        <f t="shared" si="2"/>
        <v>46.536182906630366</v>
      </c>
      <c r="K13" s="111">
        <f t="shared" si="3"/>
        <v>62.786902266585685</v>
      </c>
      <c r="L13" s="106">
        <f>J13/(B13/Sheet!$D$76)</f>
        <v>26.135048068466254</v>
      </c>
      <c r="N13" s="131"/>
      <c r="U13" s="108"/>
      <c r="V13" s="108"/>
      <c r="W13" s="108"/>
    </row>
    <row r="14" spans="1:23" x14ac:dyDescent="0.25">
      <c r="A14" s="106">
        <v>4.5</v>
      </c>
      <c r="B14" s="111">
        <f>A14^3*Sheet!$D$75/2*Sheet!$D$7^2/4*PI()*Sheet!$D$76/100</f>
        <v>114.08736133012157</v>
      </c>
      <c r="C14" s="111">
        <f>(Sheet!$D$41^4*Sheet!$D$32^2*Sheet!$F$25^2*(Sheet!$D$5*60*Stern!A14/(PI()*Sheet!$D$7))^2*Sheet!$D$13*0.001*Sheet!$D$11*2*Sheet!$F$35*Sheet!$D$43*PI())/(144*10^8*Sheet!$D$65)</f>
        <v>36.980079733876799</v>
      </c>
      <c r="D14" s="111">
        <f t="shared" si="0"/>
        <v>77.107281596244775</v>
      </c>
      <c r="E14" s="111">
        <f t="shared" si="4"/>
        <v>24</v>
      </c>
      <c r="F14" s="113">
        <f>(-Sheet!$D$29+SQRT(Sheet!$D$29^2+4*Sheet!$F$67*D14))/(2*Sheet!$F$67)</f>
        <v>3.1562231977958741</v>
      </c>
      <c r="G14" s="111">
        <f>F14^2*Sheet!$F$67</f>
        <v>1.3579248491437848</v>
      </c>
      <c r="H14" s="111">
        <f>F14*Sheet!$D$77</f>
        <v>5.6812017560325732</v>
      </c>
      <c r="I14" s="111">
        <f t="shared" si="1"/>
        <v>7.0391266051763584</v>
      </c>
      <c r="J14" s="111">
        <f t="shared" si="2"/>
        <v>70.068154991068411</v>
      </c>
      <c r="K14" s="111">
        <f t="shared" si="3"/>
        <v>66.395923145170926</v>
      </c>
      <c r="L14" s="106">
        <f>J14/(B14/Sheet!$D$76)</f>
        <v>27.637303009177401</v>
      </c>
      <c r="N14" s="131"/>
      <c r="U14" s="108"/>
      <c r="V14" s="108"/>
      <c r="W14" s="108"/>
    </row>
    <row r="15" spans="1:23" x14ac:dyDescent="0.25">
      <c r="A15" s="106">
        <v>5</v>
      </c>
      <c r="B15" s="111">
        <f>A15^3*Sheet!$D$75/2*Sheet!$D$7^2/4*PI()*Sheet!$D$76/100</f>
        <v>156.49843803857553</v>
      </c>
      <c r="C15" s="111">
        <f>(Sheet!$D$41^4*Sheet!$D$32^2*Sheet!$F$25^2*(Sheet!$D$5*60*Stern!A15/(PI()*Sheet!$D$7))^2*Sheet!$D$13*0.001*Sheet!$D$11*2*Sheet!$F$35*Sheet!$D$43*PI())/(144*10^8*Sheet!$D$65)</f>
        <v>45.654419424539277</v>
      </c>
      <c r="D15" s="111">
        <f t="shared" si="0"/>
        <v>110.84401861403626</v>
      </c>
      <c r="E15" s="111">
        <f t="shared" si="4"/>
        <v>24</v>
      </c>
      <c r="F15" s="113">
        <f>(-Sheet!$D$29+SQRT(Sheet!$D$29^2+4*Sheet!$F$67*D15))/(2*Sheet!$F$67)</f>
        <v>4.5033162917121352</v>
      </c>
      <c r="G15" s="111">
        <f>F15^2*Sheet!$F$67</f>
        <v>2.7644276129449663</v>
      </c>
      <c r="H15" s="111">
        <f>F15*Sheet!$D$77</f>
        <v>8.1059693250818441</v>
      </c>
      <c r="I15" s="111">
        <f t="shared" si="1"/>
        <v>10.870396938026811</v>
      </c>
      <c r="J15" s="111">
        <f t="shared" si="2"/>
        <v>99.973621676009444</v>
      </c>
      <c r="K15" s="111">
        <f t="shared" si="3"/>
        <v>69.061130804673297</v>
      </c>
      <c r="L15" s="106">
        <f>J15/(B15/Sheet!$D$76)</f>
        <v>28.746695697445276</v>
      </c>
      <c r="N15" s="131"/>
      <c r="U15" s="108"/>
      <c r="V15" s="108"/>
      <c r="W15" s="108"/>
    </row>
    <row r="16" spans="1:23" x14ac:dyDescent="0.25">
      <c r="A16" s="106">
        <v>5.5</v>
      </c>
      <c r="B16" s="111">
        <f>A16^3*Sheet!$D$75/2*Sheet!$D$7^2/4*PI()*Sheet!$D$76/100</f>
        <v>208.29942102934402</v>
      </c>
      <c r="C16" s="111">
        <f>(Sheet!$D$41^4*Sheet!$D$32^2*Sheet!$F$25^2*(Sheet!$D$5*60*Stern!A16/(PI()*Sheet!$D$7))^2*Sheet!$D$13*0.001*Sheet!$D$11*2*Sheet!$F$35*Sheet!$D$43*PI())/(144*10^8*Sheet!$D$65)</f>
        <v>55.241847503692497</v>
      </c>
      <c r="D16" s="111">
        <f t="shared" si="0"/>
        <v>153.05757352565152</v>
      </c>
      <c r="E16" s="111">
        <f t="shared" si="4"/>
        <v>24</v>
      </c>
      <c r="F16" s="113">
        <f>(-Sheet!$D$29+SQRT(Sheet!$D$29^2+4*Sheet!$F$67*D16))/(2*Sheet!$F$67)</f>
        <v>6.1617546473458589</v>
      </c>
      <c r="G16" s="111">
        <f>F16^2*Sheet!$F$67</f>
        <v>5.1754619893508957</v>
      </c>
      <c r="H16" s="111">
        <f>F16*Sheet!$D$77</f>
        <v>11.091158365222546</v>
      </c>
      <c r="I16" s="111">
        <f t="shared" si="1"/>
        <v>16.26662035457344</v>
      </c>
      <c r="J16" s="111">
        <f t="shared" si="2"/>
        <v>136.79095317107809</v>
      </c>
      <c r="K16" s="111">
        <f t="shared" si="3"/>
        <v>70.994970031850372</v>
      </c>
      <c r="L16" s="106">
        <f>J16/(B16/Sheet!$D$76)</f>
        <v>29.551656275757722</v>
      </c>
      <c r="N16" s="131"/>
      <c r="U16" s="108"/>
      <c r="V16" s="108"/>
      <c r="W16" s="108"/>
    </row>
    <row r="17" spans="1:23" x14ac:dyDescent="0.25">
      <c r="A17" s="106">
        <v>6</v>
      </c>
      <c r="B17" s="111">
        <f>A17^3*Sheet!$D$75/2*Sheet!$D$7^2/4*PI()*Sheet!$D$76/100</f>
        <v>270.42930093065854</v>
      </c>
      <c r="C17" s="111">
        <f>(Sheet!$D$41^4*Sheet!$D$32^2*Sheet!$F$25^2*(Sheet!$D$5*60*Stern!A17/(PI()*Sheet!$D$7))^2*Sheet!$D$13*0.001*Sheet!$D$11*2*Sheet!$F$35*Sheet!$D$43*PI())/(144*10^8*Sheet!$D$65)</f>
        <v>65.74236397133653</v>
      </c>
      <c r="D17" s="111">
        <f t="shared" si="0"/>
        <v>204.686936959322</v>
      </c>
      <c r="E17" s="111">
        <f t="shared" si="4"/>
        <v>24</v>
      </c>
      <c r="F17" s="113">
        <f>(-Sheet!$D$29+SQRT(Sheet!$D$29^2+4*Sheet!$F$67*D17))/(2*Sheet!$F$67)</f>
        <v>8.1512441129902538</v>
      </c>
      <c r="G17" s="111">
        <f>F17^2*Sheet!$F$67</f>
        <v>9.05707824755609</v>
      </c>
      <c r="H17" s="111">
        <f>F17*Sheet!$D$77</f>
        <v>14.672239403382457</v>
      </c>
      <c r="I17" s="111">
        <f t="shared" si="1"/>
        <v>23.729317650938548</v>
      </c>
      <c r="J17" s="111">
        <f t="shared" si="2"/>
        <v>180.95761930838344</v>
      </c>
      <c r="K17" s="111">
        <f t="shared" si="3"/>
        <v>72.340481611468576</v>
      </c>
      <c r="L17" s="106">
        <f>J17/(B17/Sheet!$D$76)</f>
        <v>30.11172547077377</v>
      </c>
      <c r="N17" s="131"/>
      <c r="U17" s="108"/>
      <c r="V17" s="108"/>
      <c r="W17" s="108"/>
    </row>
    <row r="18" spans="1:23" x14ac:dyDescent="0.25">
      <c r="A18" s="106">
        <v>6.5</v>
      </c>
      <c r="B18" s="111">
        <f>A18^3*Sheet!$D$75/2*Sheet!$D$7^2/4*PI()*Sheet!$D$76/100</f>
        <v>343.82706837075051</v>
      </c>
      <c r="C18" s="111">
        <f>(Sheet!$D$41^4*Sheet!$D$32^2*Sheet!$F$25^2*(Sheet!$D$5*60*Stern!A18/(PI()*Sheet!$D$7))^2*Sheet!$D$13*0.001*Sheet!$D$11*2*Sheet!$F$35*Sheet!$D$43*PI())/(144*10^8*Sheet!$D$65)</f>
        <v>77.155968827471355</v>
      </c>
      <c r="D18" s="111">
        <f t="shared" si="0"/>
        <v>266.67109954327918</v>
      </c>
      <c r="E18" s="111">
        <f t="shared" si="4"/>
        <v>24</v>
      </c>
      <c r="F18" s="113">
        <f>(-Sheet!$D$29+SQRT(Sheet!$D$29^2+4*Sheet!$F$67*D18))/(2*Sheet!$F$67)</f>
        <v>10.486690107825929</v>
      </c>
      <c r="G18" s="111">
        <f>F18^2*Sheet!$F$67</f>
        <v>14.990536955456982</v>
      </c>
      <c r="H18" s="111">
        <f>F18*Sheet!$D$77</f>
        <v>18.876042194086672</v>
      </c>
      <c r="I18" s="111">
        <f t="shared" si="1"/>
        <v>33.866579149543654</v>
      </c>
      <c r="J18" s="111">
        <f t="shared" si="2"/>
        <v>232.80452039373552</v>
      </c>
      <c r="K18" s="111">
        <f t="shared" si="3"/>
        <v>73.199752358192413</v>
      </c>
      <c r="L18" s="106">
        <f>J18/(B18/Sheet!$D$76)</f>
        <v>30.46939691909758</v>
      </c>
      <c r="N18" s="131"/>
      <c r="U18" s="108"/>
      <c r="V18" s="108"/>
      <c r="W18" s="108"/>
    </row>
    <row r="19" spans="1:23" x14ac:dyDescent="0.25">
      <c r="A19" s="106">
        <v>7</v>
      </c>
      <c r="B19" s="111">
        <f>A19^3*Sheet!$D$75/2*Sheet!$D$7^2/4*PI()*Sheet!$D$76/100</f>
        <v>429.43171397785125</v>
      </c>
      <c r="C19" s="111">
        <f>(Sheet!$D$41^4*Sheet!$D$32^2*Sheet!$F$25^2*(Sheet!$D$5*60*Stern!A19/(PI()*Sheet!$D$7))^2*Sheet!$D$13*0.001*Sheet!$D$11*2*Sheet!$F$35*Sheet!$D$43*PI())/(144*10^8*Sheet!$D$65)</f>
        <v>89.482662072096943</v>
      </c>
      <c r="D19" s="111">
        <f t="shared" si="0"/>
        <v>339.94905190575429</v>
      </c>
      <c r="E19" s="111">
        <f t="shared" si="4"/>
        <v>24</v>
      </c>
      <c r="F19" s="113">
        <f>(-Sheet!$D$29+SQRT(Sheet!$D$29^2+4*Sheet!$F$67*D19))/(2*Sheet!$F$67)</f>
        <v>13.178174446054165</v>
      </c>
      <c r="G19" s="111">
        <f>F19^2*Sheet!$F$67</f>
        <v>23.672865200454488</v>
      </c>
      <c r="H19" s="111">
        <f>F19*Sheet!$D$77</f>
        <v>23.720714002897498</v>
      </c>
      <c r="I19" s="111">
        <f t="shared" si="1"/>
        <v>47.39357920335199</v>
      </c>
      <c r="J19" s="111">
        <f t="shared" si="2"/>
        <v>292.55547270240231</v>
      </c>
      <c r="K19" s="111">
        <f t="shared" si="3"/>
        <v>73.649936977317083</v>
      </c>
      <c r="L19" s="106">
        <f>J19/(B19/Sheet!$D$76)</f>
        <v>30.656786266808215</v>
      </c>
      <c r="N19" s="131"/>
      <c r="U19" s="108"/>
      <c r="V19" s="108"/>
      <c r="W19" s="108"/>
    </row>
    <row r="20" spans="1:23" x14ac:dyDescent="0.25">
      <c r="A20" s="106">
        <v>7.5</v>
      </c>
      <c r="B20" s="111">
        <f>A20^3*Sheet!$D$75/2*Sheet!$D$7^2/4*PI()*Sheet!$D$76/100</f>
        <v>528.18222838019244</v>
      </c>
      <c r="C20" s="111">
        <f>(Sheet!$D$41^4*Sheet!$D$32^2*Sheet!$F$25^2*(Sheet!$D$5*60*Stern!A20/(PI()*Sheet!$D$7))^2*Sheet!$D$13*0.001*Sheet!$D$11*2*Sheet!$F$35*Sheet!$D$43*PI())/(144*10^8*Sheet!$D$65)</f>
        <v>102.72244370521337</v>
      </c>
      <c r="D20" s="111">
        <f t="shared" si="0"/>
        <v>425.45978467497906</v>
      </c>
      <c r="E20" s="111">
        <f t="shared" si="4"/>
        <v>24</v>
      </c>
      <c r="F20" s="113">
        <f>(-Sheet!$D$29+SQRT(Sheet!$D$29^2+4*Sheet!$F$67*D20))/(2*Sheet!$F$67)</f>
        <v>16.231158501609816</v>
      </c>
      <c r="G20" s="111">
        <f>F20^2*Sheet!$F$67</f>
        <v>35.911980636343621</v>
      </c>
      <c r="H20" s="111">
        <f>F20*Sheet!$D$77</f>
        <v>29.216085302897667</v>
      </c>
      <c r="I20" s="111">
        <f t="shared" si="1"/>
        <v>65.128065939241282</v>
      </c>
      <c r="J20" s="111">
        <f t="shared" si="2"/>
        <v>360.33171873573781</v>
      </c>
      <c r="K20" s="111">
        <f t="shared" si="3"/>
        <v>73.752539011637097</v>
      </c>
      <c r="L20" s="106">
        <f>J20/(B20/Sheet!$D$76)</f>
        <v>30.699494363593931</v>
      </c>
      <c r="N20" s="131"/>
      <c r="U20" s="108"/>
      <c r="V20" s="108"/>
      <c r="W20" s="108"/>
    </row>
    <row r="21" spans="1:23" x14ac:dyDescent="0.25">
      <c r="A21" s="106">
        <v>8</v>
      </c>
      <c r="B21" s="111">
        <f>A21^3*Sheet!$D$75/2*Sheet!$D$7^2/4*PI()*Sheet!$D$76/100</f>
        <v>641.01760220600545</v>
      </c>
      <c r="C21" s="111">
        <f>(Sheet!$D$41^4*Sheet!$D$32^2*Sheet!$F$25^2*(Sheet!$D$5*60*Stern!A21/(PI()*Sheet!$D$7))^2*Sheet!$D$13*0.001*Sheet!$D$11*2*Sheet!$F$35*Sheet!$D$43*PI())/(144*10^8*Sheet!$D$65)</f>
        <v>116.87531372682052</v>
      </c>
      <c r="D21" s="111">
        <f t="shared" si="0"/>
        <v>524.14228847918491</v>
      </c>
      <c r="E21" s="111">
        <f t="shared" si="4"/>
        <v>24</v>
      </c>
      <c r="F21" s="113">
        <f>(-Sheet!$D$29+SQRT(Sheet!$D$29^2+4*Sheet!$F$67*D21))/(2*Sheet!$F$67)</f>
        <v>19.646879866396979</v>
      </c>
      <c r="G21" s="111">
        <f>F21^2*Sheet!$F$67</f>
        <v>52.617171685657581</v>
      </c>
      <c r="H21" s="111">
        <f>F21*Sheet!$D$77</f>
        <v>35.364383759514567</v>
      </c>
      <c r="I21" s="111">
        <f t="shared" si="1"/>
        <v>87.981555445172148</v>
      </c>
      <c r="J21" s="111">
        <f t="shared" si="2"/>
        <v>436.16073303401276</v>
      </c>
      <c r="K21" s="111">
        <f t="shared" si="3"/>
        <v>73.558840688744809</v>
      </c>
      <c r="L21" s="106">
        <f>J21/(B21/Sheet!$D$76)</f>
        <v>30.618867436690017</v>
      </c>
      <c r="N21" s="131"/>
      <c r="U21" s="108"/>
      <c r="V21" s="108"/>
      <c r="W21" s="108"/>
    </row>
    <row r="22" spans="1:23" x14ac:dyDescent="0.25">
      <c r="A22" s="106">
        <v>8.5</v>
      </c>
      <c r="B22" s="111">
        <f>A22^3*Sheet!$D$75/2*Sheet!$D$7^2/4*PI()*Sheet!$D$76/100</f>
        <v>768.87682608352156</v>
      </c>
      <c r="C22" s="111">
        <f>(Sheet!$D$41^4*Sheet!$D$32^2*Sheet!$F$25^2*(Sheet!$D$5*60*Stern!A22/(PI()*Sheet!$D$7))^2*Sheet!$D$13*0.001*Sheet!$D$11*2*Sheet!$F$35*Sheet!$D$43*PI())/(144*10^8*Sheet!$D$65)</f>
        <v>131.94127213691851</v>
      </c>
      <c r="D22" s="111">
        <f t="shared" si="0"/>
        <v>636.93555394660302</v>
      </c>
      <c r="E22" s="111">
        <f t="shared" si="4"/>
        <v>24</v>
      </c>
      <c r="F22" s="113">
        <f>(-Sheet!$D$29+SQRT(Sheet!$D$29^2+4*Sheet!$F$67*D22))/(2*Sheet!$F$67)</f>
        <v>23.422890867609837</v>
      </c>
      <c r="G22" s="111">
        <f>F22^2*Sheet!$F$67</f>
        <v>74.786173123966947</v>
      </c>
      <c r="H22" s="111">
        <f>F22*Sheet!$D$77</f>
        <v>42.161203561697711</v>
      </c>
      <c r="I22" s="111">
        <f t="shared" si="1"/>
        <v>116.94737668566466</v>
      </c>
      <c r="J22" s="111">
        <f t="shared" si="2"/>
        <v>519.9881772609383</v>
      </c>
      <c r="K22" s="111">
        <f t="shared" si="3"/>
        <v>73.11306073381003</v>
      </c>
      <c r="L22" s="106">
        <f>J22/(B22/Sheet!$D$76)</f>
        <v>30.433311530448425</v>
      </c>
      <c r="N22" s="131"/>
      <c r="U22" s="108"/>
      <c r="V22" s="108"/>
      <c r="W22" s="108"/>
    </row>
    <row r="23" spans="1:23" x14ac:dyDescent="0.25">
      <c r="A23" s="106">
        <v>9</v>
      </c>
      <c r="B23" s="111">
        <f>A23^3*Sheet!$D$75/2*Sheet!$D$7^2/4*PI()*Sheet!$D$76/100</f>
        <v>912.69889064097254</v>
      </c>
      <c r="C23" s="111">
        <f>(Sheet!$D$41^4*Sheet!$D$32^2*Sheet!$F$25^2*(Sheet!$D$5*60*Stern!A23/(PI()*Sheet!$D$7))^2*Sheet!$D$13*0.001*Sheet!$D$11*2*Sheet!$F$35*Sheet!$D$43*PI())/(144*10^8*Sheet!$D$65)</f>
        <v>147.9203189355072</v>
      </c>
      <c r="D23" s="111">
        <f t="shared" si="0"/>
        <v>764.77857170546531</v>
      </c>
      <c r="E23" s="111">
        <f t="shared" si="4"/>
        <v>24</v>
      </c>
      <c r="F23" s="113">
        <f>(-Sheet!$D$29+SQRT(Sheet!$D$29^2+4*Sheet!$F$67*D23))/(2*Sheet!$F$67)</f>
        <v>27.553679257947906</v>
      </c>
      <c r="G23" s="111">
        <f>F23^2*Sheet!$F$67</f>
        <v>103.49026951471579</v>
      </c>
      <c r="H23" s="111">
        <f>F23*Sheet!$D$77</f>
        <v>49.596622664306231</v>
      </c>
      <c r="I23" s="111">
        <f t="shared" si="1"/>
        <v>153.08689217902202</v>
      </c>
      <c r="J23" s="111">
        <f t="shared" si="2"/>
        <v>611.69167952644329</v>
      </c>
      <c r="K23" s="111">
        <f t="shared" si="3"/>
        <v>72.454158646597946</v>
      </c>
      <c r="L23" s="106">
        <f>J23/(B23/Sheet!$D$76)</f>
        <v>30.159043536646383</v>
      </c>
      <c r="N23" s="131"/>
      <c r="U23" s="108"/>
      <c r="V23" s="108"/>
      <c r="W23" s="108"/>
    </row>
    <row r="24" spans="1:23" x14ac:dyDescent="0.25">
      <c r="A24" s="106">
        <v>9.5</v>
      </c>
      <c r="B24" s="111">
        <f>A24^3*Sheet!$D$75/2*Sheet!$D$7^2/4*PI()*Sheet!$D$76/100</f>
        <v>1073.4227865065895</v>
      </c>
      <c r="C24" s="111">
        <f>(Sheet!$D$41^4*Sheet!$D$32^2*Sheet!$F$25^2*(Sheet!$D$5*60*Stern!A24/(PI()*Sheet!$D$7))^2*Sheet!$D$13*0.001*Sheet!$D$11*2*Sheet!$F$35*Sheet!$D$43*PI())/(144*10^8*Sheet!$D$65)</f>
        <v>164.81245412258676</v>
      </c>
      <c r="D24" s="111">
        <f t="shared" si="0"/>
        <v>908.61033238400273</v>
      </c>
      <c r="E24" s="111">
        <f t="shared" si="4"/>
        <v>24</v>
      </c>
      <c r="F24" s="113">
        <f>(-Sheet!$D$29+SQRT(Sheet!$D$29^2+4*Sheet!$F$67*D24))/(2*Sheet!$F$67)</f>
        <v>32.031313568157458</v>
      </c>
      <c r="G24" s="111">
        <f>F24^2*Sheet!$F$67</f>
        <v>139.85880674822369</v>
      </c>
      <c r="H24" s="111">
        <f>F24*Sheet!$D$77</f>
        <v>57.656364422683424</v>
      </c>
      <c r="I24" s="111">
        <f t="shared" si="1"/>
        <v>197.51517117090711</v>
      </c>
      <c r="J24" s="111">
        <f t="shared" si="2"/>
        <v>711.09516121309559</v>
      </c>
      <c r="K24" s="111">
        <f t="shared" si="3"/>
        <v>71.616844294655721</v>
      </c>
      <c r="L24" s="106">
        <f>J24/(B24/Sheet!$D$76)</f>
        <v>29.810511437650447</v>
      </c>
      <c r="N24" s="131"/>
      <c r="U24" s="108"/>
      <c r="V24" s="108"/>
      <c r="W24" s="108"/>
    </row>
    <row r="25" spans="1:23" x14ac:dyDescent="0.25">
      <c r="A25" s="106">
        <v>10</v>
      </c>
      <c r="B25" s="111">
        <f>A25^3*Sheet!$D$75/2*Sheet!$D$7^2/4*PI()*Sheet!$D$76/100</f>
        <v>1251.9875043086042</v>
      </c>
      <c r="C25" s="111">
        <f>(Sheet!$D$41^4*Sheet!$D$32^2*Sheet!$F$25^2*(Sheet!$D$5*60*Stern!A25/(PI()*Sheet!$D$7))^2*Sheet!$D$13*0.001*Sheet!$D$11*2*Sheet!$F$35*Sheet!$D$43*PI())/(144*10^8*Sheet!$D$65)</f>
        <v>182.61767769815711</v>
      </c>
      <c r="D25" s="111">
        <f t="shared" si="0"/>
        <v>1069.369826610447</v>
      </c>
      <c r="E25" s="111">
        <f t="shared" si="4"/>
        <v>24</v>
      </c>
      <c r="F25" s="113">
        <f>(-Sheet!$D$29+SQRT(Sheet!$D$29^2+4*Sheet!$F$67*D25))/(2*Sheet!$F$67)</f>
        <v>36.846065275518804</v>
      </c>
      <c r="G25" s="111">
        <f>F25^2*Sheet!$F$67</f>
        <v>185.06425999799563</v>
      </c>
      <c r="H25" s="111">
        <f>F25*Sheet!$D$77</f>
        <v>66.322917495933851</v>
      </c>
      <c r="I25" s="111">
        <f t="shared" si="1"/>
        <v>251.38717749392947</v>
      </c>
      <c r="J25" s="111">
        <f t="shared" si="2"/>
        <v>817.98264911651756</v>
      </c>
      <c r="K25" s="111">
        <f t="shared" si="3"/>
        <v>70.632139982962443</v>
      </c>
      <c r="L25" s="106">
        <f>J25/(B25/Sheet!$D$76)</f>
        <v>29.400628267908122</v>
      </c>
      <c r="N25" s="131"/>
      <c r="U25" s="108"/>
      <c r="V25" s="108"/>
      <c r="W25" s="108"/>
    </row>
    <row r="26" spans="1:23" x14ac:dyDescent="0.25">
      <c r="A26" s="106">
        <v>10.5</v>
      </c>
      <c r="B26" s="111">
        <f>A26^3*Sheet!$D$75/2*Sheet!$D$7^2/4*PI()*Sheet!$D$76/100</f>
        <v>1449.3320346752482</v>
      </c>
      <c r="C26" s="111">
        <f>(Sheet!$D$41^4*Sheet!$D$32^2*Sheet!$F$25^2*(Sheet!$D$5*60*Stern!A26/(PI()*Sheet!$D$7))^2*Sheet!$D$13*0.001*Sheet!$D$11*2*Sheet!$F$35*Sheet!$D$43*PI())/(144*10^8*Sheet!$D$65)</f>
        <v>201.33598966221814</v>
      </c>
      <c r="D26" s="111">
        <f t="shared" si="0"/>
        <v>1247.9960450130302</v>
      </c>
      <c r="E26" s="111">
        <f t="shared" si="4"/>
        <v>24</v>
      </c>
      <c r="F26" s="113">
        <f>(-Sheet!$D$29+SQRT(Sheet!$D$29^2+4*Sheet!$F$67*D26))/(2*Sheet!$F$67)</f>
        <v>41.986973453819168</v>
      </c>
      <c r="G26" s="111">
        <f>F26^2*Sheet!$F$67</f>
        <v>240.3086821213704</v>
      </c>
      <c r="H26" s="111">
        <f>F26*Sheet!$D$77</f>
        <v>75.576552216874504</v>
      </c>
      <c r="I26" s="111">
        <f t="shared" si="1"/>
        <v>315.88523433824491</v>
      </c>
      <c r="J26" s="111">
        <f t="shared" si="2"/>
        <v>932.11081067478528</v>
      </c>
      <c r="K26" s="111">
        <f t="shared" si="3"/>
        <v>69.527709233133223</v>
      </c>
      <c r="L26" s="106">
        <f>J26/(B26/Sheet!$D$76)</f>
        <v>28.940908968291691</v>
      </c>
      <c r="N26" s="131"/>
      <c r="U26" s="108"/>
      <c r="V26" s="108"/>
      <c r="W26" s="108"/>
    </row>
    <row r="27" spans="1:23" x14ac:dyDescent="0.25">
      <c r="A27" s="106">
        <v>11</v>
      </c>
      <c r="B27" s="111">
        <f>A27^3*Sheet!$D$75/2*Sheet!$D$7^2/4*PI()*Sheet!$D$76/100</f>
        <v>1666.3953682347521</v>
      </c>
      <c r="C27" s="111">
        <f>(Sheet!$D$41^4*Sheet!$D$32^2*Sheet!$F$25^2*(Sheet!$D$5*60*Stern!A27/(PI()*Sheet!$D$7))^2*Sheet!$D$13*0.001*Sheet!$D$11*2*Sheet!$F$35*Sheet!$D$43*PI())/(144*10^8*Sheet!$D$65)</f>
        <v>220.96739001476999</v>
      </c>
      <c r="D27" s="111">
        <f t="shared" si="0"/>
        <v>1445.4279782199822</v>
      </c>
      <c r="E27" s="111">
        <f t="shared" si="4"/>
        <v>24</v>
      </c>
      <c r="F27" s="113">
        <f>(-Sheet!$D$29+SQRT(Sheet!$D$29^2+4*Sheet!$F$67*D27))/(2*Sheet!$F$67)</f>
        <v>47.442331593290056</v>
      </c>
      <c r="G27" s="111">
        <f>F27^2*Sheet!$F$67</f>
        <v>306.81201998102108</v>
      </c>
      <c r="H27" s="111">
        <f>F27*Sheet!$D$77</f>
        <v>85.3961968679221</v>
      </c>
      <c r="I27" s="111">
        <f t="shared" si="1"/>
        <v>392.20821684894315</v>
      </c>
      <c r="J27" s="111">
        <f t="shared" si="2"/>
        <v>1053.2197613710391</v>
      </c>
      <c r="K27" s="111">
        <f t="shared" si="3"/>
        <v>68.328079874893149</v>
      </c>
      <c r="L27" s="106">
        <f>J27/(B27/Sheet!$D$76)</f>
        <v>28.441563247924272</v>
      </c>
      <c r="N27" s="131"/>
      <c r="U27" s="108"/>
      <c r="V27" s="108"/>
      <c r="W27" s="108"/>
    </row>
    <row r="28" spans="1:23" x14ac:dyDescent="0.25">
      <c r="A28" s="106">
        <v>11.5</v>
      </c>
      <c r="B28" s="111">
        <f>A28^3*Sheet!$D$75/2*Sheet!$D$7^2/4*PI()*Sheet!$D$76/100</f>
        <v>1904.1164956153486</v>
      </c>
      <c r="C28" s="111">
        <f>(Sheet!$D$41^4*Sheet!$D$32^2*Sheet!$F$25^2*(Sheet!$D$5*60*Stern!A28/(PI()*Sheet!$D$7))^2*Sheet!$D$13*0.001*Sheet!$D$11*2*Sheet!$F$35*Sheet!$D$43*PI())/(144*10^8*Sheet!$D$65)</f>
        <v>241.51187875581275</v>
      </c>
      <c r="D28" s="111">
        <f t="shared" si="0"/>
        <v>1662.6046168595358</v>
      </c>
      <c r="E28" s="111">
        <f t="shared" si="4"/>
        <v>24</v>
      </c>
      <c r="F28" s="113">
        <f>(-Sheet!$D$29+SQRT(Sheet!$D$29^2+4*Sheet!$F$67*D28))/(2*Sheet!$F$67)</f>
        <v>53.200088484155522</v>
      </c>
      <c r="G28" s="111">
        <f>F28^2*Sheet!$F$67</f>
        <v>385.80249323980308</v>
      </c>
      <c r="H28" s="111">
        <f>F28*Sheet!$D$77</f>
        <v>95.760159271479935</v>
      </c>
      <c r="I28" s="111">
        <f t="shared" si="1"/>
        <v>481.56265251128303</v>
      </c>
      <c r="J28" s="111">
        <f t="shared" si="2"/>
        <v>1181.0419643482528</v>
      </c>
      <c r="K28" s="111">
        <f t="shared" si="3"/>
        <v>67.054832336143988</v>
      </c>
      <c r="L28" s="106">
        <f>J28/(B28/Sheet!$D$76)</f>
        <v>27.911573959919942</v>
      </c>
      <c r="N28" s="131"/>
      <c r="U28" s="108"/>
      <c r="V28" s="108"/>
      <c r="W28" s="108"/>
    </row>
    <row r="29" spans="1:23" x14ac:dyDescent="0.25">
      <c r="A29" s="106">
        <v>12</v>
      </c>
      <c r="B29" s="111">
        <f>A29^3*Sheet!$D$75/2*Sheet!$D$7^2/4*PI()*Sheet!$D$76/100</f>
        <v>2163.4344074452683</v>
      </c>
      <c r="C29" s="111">
        <f>(Sheet!$D$41^4*Sheet!$D$32^2*Sheet!$F$25^2*(Sheet!$D$5*60*Stern!A29/(PI()*Sheet!$D$7))^2*Sheet!$D$13*0.001*Sheet!$D$11*2*Sheet!$F$35*Sheet!$D$43*PI())/(144*10^8*Sheet!$D$65)</f>
        <v>262.96945588534612</v>
      </c>
      <c r="D29" s="111">
        <f t="shared" si="0"/>
        <v>1900.4649515599222</v>
      </c>
      <c r="E29" s="111">
        <f t="shared" si="4"/>
        <v>24</v>
      </c>
      <c r="F29" s="113">
        <f>(-Sheet!$D$29+SQRT(Sheet!$D$29^2+4*Sheet!$F$67*D29))/(2*Sheet!$F$67)</f>
        <v>59.248164283858095</v>
      </c>
      <c r="G29" s="111">
        <f>F29^2*Sheet!$F$67</f>
        <v>478.50900874732844</v>
      </c>
      <c r="H29" s="111">
        <f>F29*Sheet!$D$77</f>
        <v>106.64669571094457</v>
      </c>
      <c r="I29" s="111">
        <f t="shared" si="1"/>
        <v>585.15570445827302</v>
      </c>
      <c r="J29" s="111">
        <f>IF(I29&gt;0,D29-I29,0)</f>
        <v>1315.3092471016491</v>
      </c>
      <c r="K29" s="111">
        <f t="shared" si="3"/>
        <v>65.726787829529684</v>
      </c>
      <c r="L29" s="106">
        <f>J29/(B29/Sheet!$D$76)</f>
        <v>27.358775434041721</v>
      </c>
      <c r="N29" s="131"/>
      <c r="U29" s="108"/>
      <c r="V29" s="108"/>
      <c r="W29" s="108"/>
    </row>
    <row r="30" spans="1:23" x14ac:dyDescent="0.25">
      <c r="B30" s="112"/>
      <c r="C30" s="112"/>
      <c r="D30" s="112"/>
      <c r="E30" s="112"/>
      <c r="F30" s="112"/>
      <c r="G30" s="112"/>
      <c r="H30" s="112"/>
      <c r="I30" s="112"/>
      <c r="J30" s="112"/>
      <c r="K30" s="112"/>
      <c r="U30" s="108"/>
      <c r="V30" s="108"/>
      <c r="W30" s="108"/>
    </row>
    <row r="31" spans="1:23" x14ac:dyDescent="0.25">
      <c r="A31" s="1"/>
      <c r="C31" s="1"/>
      <c r="U31" s="108"/>
      <c r="V31" s="108"/>
      <c r="W31" s="108"/>
    </row>
    <row r="32" spans="1:23" x14ac:dyDescent="0.25">
      <c r="A32" s="1"/>
      <c r="C32" s="1"/>
    </row>
    <row r="33" spans="1:3" x14ac:dyDescent="0.25">
      <c r="A33" s="1"/>
      <c r="C33" s="1"/>
    </row>
  </sheetData>
  <pageMargins left="0.7" right="0.7" top="0.78740157499999996" bottom="0.78740157499999996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3"/>
  <sheetViews>
    <sheetView zoomScaleNormal="100" workbookViewId="0">
      <selection activeCell="F1" sqref="F1"/>
    </sheetView>
  </sheetViews>
  <sheetFormatPr baseColWidth="10" defaultRowHeight="13.2" x14ac:dyDescent="0.25"/>
  <cols>
    <col min="1" max="1" width="15.109375" customWidth="1"/>
    <col min="2" max="2" width="11.44140625" customWidth="1"/>
    <col min="3" max="3" width="18.109375" customWidth="1"/>
    <col min="4" max="4" width="10.6640625" customWidth="1"/>
    <col min="5" max="5" width="20.109375" customWidth="1"/>
    <col min="6" max="6" width="10" customWidth="1"/>
    <col min="7" max="7" width="11.44140625" customWidth="1"/>
    <col min="8" max="8" width="18.88671875" customWidth="1"/>
    <col min="9" max="9" width="15.6640625" customWidth="1"/>
    <col min="12" max="12" width="13.109375" customWidth="1"/>
  </cols>
  <sheetData>
    <row r="1" spans="1:23" ht="24.6" x14ac:dyDescent="0.4">
      <c r="A1" s="107" t="s">
        <v>127</v>
      </c>
    </row>
    <row r="3" spans="1:23" ht="15.6" x14ac:dyDescent="0.3">
      <c r="A3" s="114" t="s">
        <v>123</v>
      </c>
      <c r="B3" s="109" t="s">
        <v>118</v>
      </c>
      <c r="C3" s="109" t="s">
        <v>124</v>
      </c>
      <c r="D3" s="109" t="s">
        <v>130</v>
      </c>
      <c r="E3" s="109" t="s">
        <v>128</v>
      </c>
      <c r="F3" s="109" t="s">
        <v>86</v>
      </c>
      <c r="G3" s="109" t="s">
        <v>129</v>
      </c>
      <c r="H3" s="109" t="s">
        <v>131</v>
      </c>
      <c r="I3" s="109" t="s">
        <v>133</v>
      </c>
      <c r="J3" s="109" t="s">
        <v>132</v>
      </c>
      <c r="K3" s="109" t="s">
        <v>134</v>
      </c>
      <c r="L3" s="114" t="s">
        <v>136</v>
      </c>
    </row>
    <row r="4" spans="1:23" x14ac:dyDescent="0.25">
      <c r="A4" s="115" t="s">
        <v>121</v>
      </c>
      <c r="B4" s="110" t="s">
        <v>122</v>
      </c>
      <c r="C4" s="110" t="s">
        <v>122</v>
      </c>
      <c r="D4" s="110" t="s">
        <v>122</v>
      </c>
      <c r="E4" s="110" t="s">
        <v>125</v>
      </c>
      <c r="F4" s="110" t="s">
        <v>126</v>
      </c>
      <c r="G4" s="110" t="s">
        <v>122</v>
      </c>
      <c r="H4" s="110" t="s">
        <v>122</v>
      </c>
      <c r="I4" s="110" t="s">
        <v>122</v>
      </c>
      <c r="J4" s="110" t="s">
        <v>122</v>
      </c>
      <c r="K4" s="110" t="s">
        <v>135</v>
      </c>
      <c r="L4" s="115" t="s">
        <v>135</v>
      </c>
    </row>
    <row r="5" spans="1:23" ht="13.8" thickBot="1" x14ac:dyDescent="0.3">
      <c r="A5" s="116"/>
      <c r="B5" s="117"/>
      <c r="C5" s="117"/>
      <c r="D5" s="117"/>
      <c r="E5" s="117"/>
      <c r="F5" s="117"/>
      <c r="G5" s="117"/>
      <c r="H5" s="117"/>
      <c r="I5" s="117"/>
      <c r="J5" s="117"/>
      <c r="K5" s="117"/>
      <c r="L5" s="116"/>
      <c r="U5" s="108"/>
      <c r="V5" s="108"/>
      <c r="W5" s="108"/>
    </row>
    <row r="6" spans="1:23" x14ac:dyDescent="0.25">
      <c r="B6" s="112"/>
      <c r="C6" s="112"/>
      <c r="D6" s="112"/>
      <c r="E6" s="112"/>
      <c r="F6" s="112"/>
      <c r="G6" s="112"/>
      <c r="H6" s="112"/>
      <c r="I6" s="112"/>
      <c r="J6" s="112"/>
      <c r="K6" s="112"/>
      <c r="U6" s="108"/>
      <c r="V6" s="108"/>
      <c r="W6" s="108"/>
    </row>
    <row r="7" spans="1:23" x14ac:dyDescent="0.25">
      <c r="A7" s="106">
        <v>1</v>
      </c>
      <c r="B7" s="111">
        <f>A7^3*Sheet!$D$75/2*Sheet!$D$7^2/4*PI()*Sheet!$D$76/100</f>
        <v>1.2519875043086044</v>
      </c>
      <c r="C7" s="111">
        <f>(Sheet!$D$41^4*Sheet!$D$32^2*Sheet!$F$25^2*(Sheet!$D$5*60*Dreieck!A7/(PI()*Sheet!$D$7))^2*Sheet!$D$13*0.001*Sheet!$D$11*2*Sheet!$F$37*Sheet!$D$43*PI())/(144*10^8*Sheet!$D$65)</f>
        <v>3.1635086872172575</v>
      </c>
      <c r="D7" s="111">
        <f>B7-C7</f>
        <v>-1.9115211829086531</v>
      </c>
      <c r="E7" s="111">
        <f>Sheet!D29</f>
        <v>24</v>
      </c>
      <c r="F7" s="113">
        <f>(-Sheet!$D$29+SQRT(Sheet!$D$29^2+4*Sheet!$F$69*D7))/(2*Sheet!$F$69)</f>
        <v>-7.9667531929931104E-2</v>
      </c>
      <c r="G7" s="111">
        <f>F7^2*Sheet!$F$69</f>
        <v>4.9958340982070499E-4</v>
      </c>
      <c r="H7" s="111">
        <f>F7*Sheet!$D$77</f>
        <v>-0.14340155747387598</v>
      </c>
      <c r="I7" s="111">
        <f>H7+G7</f>
        <v>-0.14290197406405528</v>
      </c>
      <c r="J7" s="111">
        <f>IF(I7&gt;0,D7-I7,0)</f>
        <v>0</v>
      </c>
      <c r="K7" s="111">
        <f>E7*F7/B7*100</f>
        <v>-152.71883782691887</v>
      </c>
      <c r="L7" s="106">
        <f>J7/(B7/Sheet!$D$76)</f>
        <v>0</v>
      </c>
      <c r="N7" s="131"/>
      <c r="U7" s="108"/>
      <c r="V7" s="108"/>
      <c r="W7" s="108"/>
    </row>
    <row r="8" spans="1:23" x14ac:dyDescent="0.25">
      <c r="A8" s="106">
        <v>1.5</v>
      </c>
      <c r="B8" s="111">
        <f>A8^3*Sheet!$D$75/2*Sheet!$D$7^2/4*PI()*Sheet!$D$76/100</f>
        <v>4.2254578270415397</v>
      </c>
      <c r="C8" s="111">
        <f>(Sheet!$D$41^4*Sheet!$D$32^2*Sheet!$F$25^2*(Sheet!$D$5*60*Dreieck!A8/(PI()*Sheet!$D$7))^2*Sheet!$D$13*0.001*Sheet!$D$11*2*Sheet!$F$37*Sheet!$D$43*PI())/(144*10^8*Sheet!$D$65)</f>
        <v>7.117894546238829</v>
      </c>
      <c r="D8" s="111">
        <f t="shared" ref="D8:D29" si="0">B8-C8</f>
        <v>-2.8924367191972893</v>
      </c>
      <c r="E8" s="111">
        <f>E7</f>
        <v>24</v>
      </c>
      <c r="F8" s="113">
        <f>(-Sheet!$D$29+SQRT(Sheet!$D$29^2+4*Sheet!$F$69*D8))/(2*Sheet!$F$69)</f>
        <v>-0.12056587076737771</v>
      </c>
      <c r="G8" s="111">
        <f>F8^2*Sheet!$F$69</f>
        <v>1.1441792196131108E-3</v>
      </c>
      <c r="H8" s="111">
        <f>F8*Sheet!$D$77</f>
        <v>-0.21701856738127989</v>
      </c>
      <c r="I8" s="111">
        <f t="shared" ref="I8:I29" si="1">H8+G8</f>
        <v>-0.21587438816166679</v>
      </c>
      <c r="J8" s="111">
        <f t="shared" ref="J8:J28" si="2">IF(I8&gt;0,D8-I8,0)</f>
        <v>0</v>
      </c>
      <c r="K8" s="111">
        <f t="shared" ref="K8:K29" si="3">E8*F8/B8*100</f>
        <v>-68.479701297670033</v>
      </c>
      <c r="L8" s="106">
        <f>J8/(B8/Sheet!$D$76)</f>
        <v>0</v>
      </c>
      <c r="N8" s="131"/>
      <c r="U8" s="108"/>
      <c r="V8" s="108"/>
      <c r="W8" s="108"/>
    </row>
    <row r="9" spans="1:23" x14ac:dyDescent="0.25">
      <c r="A9" s="106">
        <v>2</v>
      </c>
      <c r="B9" s="111">
        <f>A9^3*Sheet!$D$75/2*Sheet!$D$7^2/4*PI()*Sheet!$D$76/100</f>
        <v>10.015900034468835</v>
      </c>
      <c r="C9" s="111">
        <f>(Sheet!$D$41^4*Sheet!$D$32^2*Sheet!$F$25^2*(Sheet!$D$5*60*Dreieck!A9/(PI()*Sheet!$D$7))^2*Sheet!$D$13*0.001*Sheet!$D$11*2*Sheet!$F$37*Sheet!$D$43*PI())/(144*10^8*Sheet!$D$65)</f>
        <v>12.65403474886903</v>
      </c>
      <c r="D9" s="111">
        <f t="shared" si="0"/>
        <v>-2.638134714400195</v>
      </c>
      <c r="E9" s="111">
        <f t="shared" ref="E9:E29" si="4">E8</f>
        <v>24</v>
      </c>
      <c r="F9" s="113">
        <f>(-Sheet!$D$29+SQRT(Sheet!$D$29^2+4*Sheet!$F$69*D9))/(2*Sheet!$F$69)</f>
        <v>-0.10996193667015418</v>
      </c>
      <c r="G9" s="111">
        <f>F9^2*Sheet!$F$69</f>
        <v>9.517656833434062E-4</v>
      </c>
      <c r="H9" s="111">
        <f>F9*Sheet!$D$77</f>
        <v>-0.19793148600627752</v>
      </c>
      <c r="I9" s="111">
        <f t="shared" si="1"/>
        <v>-0.19697972032293412</v>
      </c>
      <c r="J9" s="111">
        <f t="shared" si="2"/>
        <v>0</v>
      </c>
      <c r="K9" s="111">
        <f t="shared" si="3"/>
        <v>-26.348969847956923</v>
      </c>
      <c r="L9" s="106">
        <f>J9/(B9/Sheet!$D$76)</f>
        <v>0</v>
      </c>
      <c r="N9" s="131"/>
      <c r="U9" s="108"/>
      <c r="V9" s="108"/>
      <c r="W9" s="108"/>
    </row>
    <row r="10" spans="1:23" x14ac:dyDescent="0.25">
      <c r="A10" s="106">
        <v>2.5</v>
      </c>
      <c r="B10" s="111">
        <f>A10^3*Sheet!$D$75/2*Sheet!$D$7^2/4*PI()*Sheet!$D$76/100</f>
        <v>19.562304754821941</v>
      </c>
      <c r="C10" s="111">
        <f>(Sheet!$D$41^4*Sheet!$D$32^2*Sheet!$F$25^2*(Sheet!$D$5*60*Dreieck!A10/(PI()*Sheet!$D$7))^2*Sheet!$D$13*0.001*Sheet!$D$11*2*Sheet!$F$37*Sheet!$D$43*PI())/(144*10^8*Sheet!$D$65)</f>
        <v>19.771929295107864</v>
      </c>
      <c r="D10" s="111">
        <f t="shared" si="0"/>
        <v>-0.20962454028592248</v>
      </c>
      <c r="E10" s="111">
        <f t="shared" si="4"/>
        <v>24</v>
      </c>
      <c r="F10" s="113">
        <f>(-Sheet!$D$29+SQRT(Sheet!$D$29^2+4*Sheet!$F$69*D10))/(2*Sheet!$F$69)</f>
        <v>-8.7346060644917355E-3</v>
      </c>
      <c r="G10" s="111">
        <f>F10^2*Sheet!$F$69</f>
        <v>6.0052615526155797E-6</v>
      </c>
      <c r="H10" s="111">
        <f>F10*Sheet!$D$77</f>
        <v>-1.5722290916085124E-2</v>
      </c>
      <c r="I10" s="111">
        <f t="shared" si="1"/>
        <v>-1.5716285654532508E-2</v>
      </c>
      <c r="J10" s="111">
        <f t="shared" si="2"/>
        <v>0</v>
      </c>
      <c r="K10" s="111">
        <f t="shared" si="3"/>
        <v>-1.0716045382951593</v>
      </c>
      <c r="L10" s="106">
        <f>J10/(B10/Sheet!$D$76)</f>
        <v>0</v>
      </c>
      <c r="N10" s="131"/>
      <c r="U10" s="108"/>
      <c r="V10" s="108"/>
      <c r="W10" s="108"/>
    </row>
    <row r="11" spans="1:23" x14ac:dyDescent="0.25">
      <c r="A11" s="106">
        <v>3</v>
      </c>
      <c r="B11" s="111">
        <f>A11^3*Sheet!$D$75/2*Sheet!$D$7^2/4*PI()*Sheet!$D$76/100</f>
        <v>33.803662616332318</v>
      </c>
      <c r="C11" s="111">
        <f>(Sheet!$D$41^4*Sheet!$D$32^2*Sheet!$F$25^2*(Sheet!$D$5*60*Dreieck!A11/(PI()*Sheet!$D$7))^2*Sheet!$D$13*0.001*Sheet!$D$11*2*Sheet!$F$37*Sheet!$D$43*PI())/(144*10^8*Sheet!$D$65)</f>
        <v>28.471578184955316</v>
      </c>
      <c r="D11" s="111">
        <f t="shared" si="0"/>
        <v>5.3320844313770017</v>
      </c>
      <c r="E11" s="111">
        <f t="shared" si="4"/>
        <v>24</v>
      </c>
      <c r="F11" s="113">
        <f>(-Sheet!$D$29+SQRT(Sheet!$D$29^2+4*Sheet!$F$69*D11))/(2*Sheet!$F$69)</f>
        <v>0.22200853550611799</v>
      </c>
      <c r="G11" s="111">
        <f>F11^2*Sheet!$F$69</f>
        <v>3.8795792305208843E-3</v>
      </c>
      <c r="H11" s="111">
        <f>F11*Sheet!$D$77</f>
        <v>0.39961536391101238</v>
      </c>
      <c r="I11" s="111">
        <f t="shared" si="1"/>
        <v>0.40349494314153328</v>
      </c>
      <c r="J11" s="111">
        <f t="shared" si="2"/>
        <v>4.9285894882354686</v>
      </c>
      <c r="K11" s="111">
        <f t="shared" si="3"/>
        <v>15.762211665112577</v>
      </c>
      <c r="L11" s="106">
        <f>J11/(B11/Sheet!$D$76)</f>
        <v>6.5610206056026437</v>
      </c>
      <c r="N11" s="131"/>
      <c r="U11" s="108"/>
      <c r="V11" s="108"/>
      <c r="W11" s="108"/>
    </row>
    <row r="12" spans="1:23" x14ac:dyDescent="0.25">
      <c r="A12" s="106">
        <v>3.5</v>
      </c>
      <c r="B12" s="111">
        <f>A12^3*Sheet!$D$75/2*Sheet!$D$7^2/4*PI()*Sheet!$D$76/100</f>
        <v>53.678964247231406</v>
      </c>
      <c r="C12" s="111">
        <f>(Sheet!$D$41^4*Sheet!$D$32^2*Sheet!$F$25^2*(Sheet!$D$5*60*Dreieck!A12/(PI()*Sheet!$D$7))^2*Sheet!$D$13*0.001*Sheet!$D$11*2*Sheet!$F$37*Sheet!$D$43*PI())/(144*10^8*Sheet!$D$65)</f>
        <v>38.752981418411402</v>
      </c>
      <c r="D12" s="111">
        <f t="shared" si="0"/>
        <v>14.925982828820004</v>
      </c>
      <c r="E12" s="111">
        <f t="shared" si="4"/>
        <v>24</v>
      </c>
      <c r="F12" s="113">
        <f>(-Sheet!$D$29+SQRT(Sheet!$D$29^2+4*Sheet!$F$69*D12))/(2*Sheet!$F$69)</f>
        <v>0.62065257942816154</v>
      </c>
      <c r="G12" s="111">
        <f>F12^2*Sheet!$F$69</f>
        <v>3.0320922543965206E-2</v>
      </c>
      <c r="H12" s="111">
        <f>F12*Sheet!$D$77</f>
        <v>1.1171746429706908</v>
      </c>
      <c r="I12" s="111">
        <f t="shared" si="1"/>
        <v>1.1474955655146559</v>
      </c>
      <c r="J12" s="111">
        <f t="shared" si="2"/>
        <v>13.778487263305347</v>
      </c>
      <c r="K12" s="111">
        <f t="shared" si="3"/>
        <v>27.749533015708565</v>
      </c>
      <c r="L12" s="106">
        <f>J12/(B12/Sheet!$D$76)</f>
        <v>11.550743117788826</v>
      </c>
      <c r="N12" s="131"/>
      <c r="U12" s="108"/>
      <c r="V12" s="108"/>
      <c r="W12" s="108"/>
    </row>
    <row r="13" spans="1:23" x14ac:dyDescent="0.25">
      <c r="A13" s="106">
        <v>4</v>
      </c>
      <c r="B13" s="111">
        <f>A13^3*Sheet!$D$75/2*Sheet!$D$7^2/4*PI()*Sheet!$D$76/100</f>
        <v>80.127200275750681</v>
      </c>
      <c r="C13" s="111">
        <f>(Sheet!$D$41^4*Sheet!$D$32^2*Sheet!$F$25^2*(Sheet!$D$5*60*Dreieck!A13/(PI()*Sheet!$D$7))^2*Sheet!$D$13*0.001*Sheet!$D$11*2*Sheet!$F$37*Sheet!$D$43*PI())/(144*10^8*Sheet!$D$65)</f>
        <v>50.61613899547612</v>
      </c>
      <c r="D13" s="111">
        <f t="shared" si="0"/>
        <v>29.511061280274561</v>
      </c>
      <c r="E13" s="111">
        <f t="shared" si="4"/>
        <v>24</v>
      </c>
      <c r="F13" s="113">
        <f>(-Sheet!$D$29+SQRT(Sheet!$D$29^2+4*Sheet!$F$69*D13))/(2*Sheet!$F$69)</f>
        <v>1.2247082980601811</v>
      </c>
      <c r="G13" s="111">
        <f>F13^2*Sheet!$F$69</f>
        <v>0.11806212683023254</v>
      </c>
      <c r="H13" s="111">
        <f>F13*Sheet!$D$77</f>
        <v>2.2044749365083263</v>
      </c>
      <c r="I13" s="111">
        <f t="shared" si="1"/>
        <v>2.3225370633385589</v>
      </c>
      <c r="J13" s="111">
        <f t="shared" si="2"/>
        <v>27.188524216936003</v>
      </c>
      <c r="K13" s="111">
        <f t="shared" si="3"/>
        <v>36.682922967844803</v>
      </c>
      <c r="L13" s="106">
        <f>J13/(B13/Sheet!$D$76)</f>
        <v>15.269266685365388</v>
      </c>
      <c r="N13" s="131"/>
      <c r="U13" s="108"/>
      <c r="V13" s="108"/>
      <c r="W13" s="108"/>
    </row>
    <row r="14" spans="1:23" x14ac:dyDescent="0.25">
      <c r="A14" s="106">
        <v>4.5</v>
      </c>
      <c r="B14" s="111">
        <f>A14^3*Sheet!$D$75/2*Sheet!$D$7^2/4*PI()*Sheet!$D$76/100</f>
        <v>114.08736133012157</v>
      </c>
      <c r="C14" s="111">
        <f>(Sheet!$D$41^4*Sheet!$D$32^2*Sheet!$F$25^2*(Sheet!$D$5*60*Dreieck!A14/(PI()*Sheet!$D$7))^2*Sheet!$D$13*0.001*Sheet!$D$11*2*Sheet!$F$37*Sheet!$D$43*PI())/(144*10^8*Sheet!$D$65)</f>
        <v>64.061050916149441</v>
      </c>
      <c r="D14" s="111">
        <f t="shared" si="0"/>
        <v>50.026310413972126</v>
      </c>
      <c r="E14" s="111">
        <f t="shared" si="4"/>
        <v>24</v>
      </c>
      <c r="F14" s="113">
        <f>(-Sheet!$D$29+SQRT(Sheet!$D$29^2+4*Sheet!$F$69*D14))/(2*Sheet!$F$69)</f>
        <v>2.0703713736886256</v>
      </c>
      <c r="G14" s="111">
        <f>F14^2*Sheet!$F$69</f>
        <v>0.33739744544510725</v>
      </c>
      <c r="H14" s="111">
        <f>F14*Sheet!$D$77</f>
        <v>3.7266684726395263</v>
      </c>
      <c r="I14" s="111">
        <f t="shared" si="1"/>
        <v>4.0640659180846335</v>
      </c>
      <c r="J14" s="111">
        <f t="shared" si="2"/>
        <v>45.962244495887489</v>
      </c>
      <c r="K14" s="111">
        <f t="shared" si="3"/>
        <v>43.553389603558173</v>
      </c>
      <c r="L14" s="106">
        <f>J14/(B14/Sheet!$D$76)</f>
        <v>18.129098422481089</v>
      </c>
      <c r="N14" s="131"/>
      <c r="U14" s="108"/>
      <c r="V14" s="108"/>
      <c r="W14" s="108"/>
    </row>
    <row r="15" spans="1:23" x14ac:dyDescent="0.25">
      <c r="A15" s="106">
        <v>5</v>
      </c>
      <c r="B15" s="111">
        <f>A15^3*Sheet!$D$75/2*Sheet!$D$7^2/4*PI()*Sheet!$D$76/100</f>
        <v>156.49843803857553</v>
      </c>
      <c r="C15" s="111">
        <f>(Sheet!$D$41^4*Sheet!$D$32^2*Sheet!$F$25^2*(Sheet!$D$5*60*Dreieck!A15/(PI()*Sheet!$D$7))^2*Sheet!$D$13*0.001*Sheet!$D$11*2*Sheet!$F$37*Sheet!$D$43*PI())/(144*10^8*Sheet!$D$65)</f>
        <v>79.087717180431454</v>
      </c>
      <c r="D15" s="111">
        <f t="shared" si="0"/>
        <v>77.410720858144074</v>
      </c>
      <c r="E15" s="111">
        <f t="shared" si="4"/>
        <v>24</v>
      </c>
      <c r="F15" s="113">
        <f>(-Sheet!$D$29+SQRT(Sheet!$D$29^2+4*Sheet!$F$69*D15))/(2*Sheet!$F$69)</f>
        <v>3.1920296700834823</v>
      </c>
      <c r="G15" s="111">
        <f>F15^2*Sheet!$F$69</f>
        <v>0.80200877614072696</v>
      </c>
      <c r="H15" s="111">
        <f>F15*Sheet!$D$77</f>
        <v>5.745653406150268</v>
      </c>
      <c r="I15" s="111">
        <f t="shared" si="1"/>
        <v>6.5476621822909946</v>
      </c>
      <c r="J15" s="111">
        <f t="shared" si="2"/>
        <v>70.863058675853082</v>
      </c>
      <c r="K15" s="111">
        <f t="shared" si="3"/>
        <v>48.951742293504665</v>
      </c>
      <c r="L15" s="106">
        <f>J15/(B15/Sheet!$D$76)</f>
        <v>20.376162729671254</v>
      </c>
      <c r="N15" s="131"/>
      <c r="U15" s="108"/>
      <c r="V15" s="108"/>
      <c r="W15" s="108"/>
    </row>
    <row r="16" spans="1:23" x14ac:dyDescent="0.25">
      <c r="A16" s="106">
        <v>5.5</v>
      </c>
      <c r="B16" s="111">
        <f>A16^3*Sheet!$D$75/2*Sheet!$D$7^2/4*PI()*Sheet!$D$76/100</f>
        <v>208.29942102934402</v>
      </c>
      <c r="C16" s="111">
        <f>(Sheet!$D$41^4*Sheet!$D$32^2*Sheet!$F$25^2*(Sheet!$D$5*60*Dreieck!A16/(PI()*Sheet!$D$7))^2*Sheet!$D$13*0.001*Sheet!$D$11*2*Sheet!$F$37*Sheet!$D$43*PI())/(144*10^8*Sheet!$D$65)</f>
        <v>95.696137788322019</v>
      </c>
      <c r="D16" s="111">
        <f t="shared" si="0"/>
        <v>112.603283241022</v>
      </c>
      <c r="E16" s="111">
        <f t="shared" si="4"/>
        <v>24</v>
      </c>
      <c r="F16" s="113">
        <f>(-Sheet!$D$29+SQRT(Sheet!$D$29^2+4*Sheet!$F$69*D16))/(2*Sheet!$F$69)</f>
        <v>4.6217472918842413</v>
      </c>
      <c r="G16" s="111">
        <f>F16^2*Sheet!$F$69</f>
        <v>1.6813482358000553</v>
      </c>
      <c r="H16" s="111">
        <f>F16*Sheet!$D$77</f>
        <v>8.3191451253916338</v>
      </c>
      <c r="I16" s="111">
        <f t="shared" si="1"/>
        <v>10.000493361191689</v>
      </c>
      <c r="J16" s="111">
        <f t="shared" si="2"/>
        <v>102.60278987983031</v>
      </c>
      <c r="K16" s="111">
        <f t="shared" si="3"/>
        <v>53.251196982249773</v>
      </c>
      <c r="L16" s="106">
        <f>J16/(B16/Sheet!$D$76)</f>
        <v>22.165810743861503</v>
      </c>
      <c r="N16" s="131"/>
      <c r="U16" s="108"/>
      <c r="V16" s="108"/>
      <c r="W16" s="108"/>
    </row>
    <row r="17" spans="1:23" x14ac:dyDescent="0.25">
      <c r="A17" s="106">
        <v>6</v>
      </c>
      <c r="B17" s="111">
        <f>A17^3*Sheet!$D$75/2*Sheet!$D$7^2/4*PI()*Sheet!$D$76/100</f>
        <v>270.42930093065854</v>
      </c>
      <c r="C17" s="111">
        <f>(Sheet!$D$41^4*Sheet!$D$32^2*Sheet!$F$25^2*(Sheet!$D$5*60*Dreieck!A17/(PI()*Sheet!$D$7))^2*Sheet!$D$13*0.001*Sheet!$D$11*2*Sheet!$F$37*Sheet!$D$43*PI())/(144*10^8*Sheet!$D$65)</f>
        <v>113.88631273982126</v>
      </c>
      <c r="D17" s="111">
        <f t="shared" si="0"/>
        <v>156.54298819083726</v>
      </c>
      <c r="E17" s="111">
        <f t="shared" si="4"/>
        <v>24</v>
      </c>
      <c r="F17" s="113">
        <f>(-Sheet!$D$29+SQRT(Sheet!$D$29^2+4*Sheet!$F$69*D17))/(2*Sheet!$F$69)</f>
        <v>6.3887594848065321</v>
      </c>
      <c r="G17" s="111">
        <f>F17^2*Sheet!$F$69</f>
        <v>3.2127605554802621</v>
      </c>
      <c r="H17" s="111">
        <f>F17*Sheet!$D$77</f>
        <v>11.499767072651759</v>
      </c>
      <c r="I17" s="111">
        <f t="shared" si="1"/>
        <v>14.712527628132021</v>
      </c>
      <c r="J17" s="111">
        <f t="shared" si="2"/>
        <v>141.83046056270524</v>
      </c>
      <c r="K17" s="111">
        <f t="shared" si="3"/>
        <v>56.698821876063107</v>
      </c>
      <c r="L17" s="106">
        <f>J17/(B17/Sheet!$D$76)</f>
        <v>23.600884605911311</v>
      </c>
      <c r="N17" s="131"/>
      <c r="U17" s="108"/>
      <c r="V17" s="108"/>
      <c r="W17" s="108"/>
    </row>
    <row r="18" spans="1:23" x14ac:dyDescent="0.25">
      <c r="A18" s="106">
        <v>6.5</v>
      </c>
      <c r="B18" s="111">
        <f>A18^3*Sheet!$D$75/2*Sheet!$D$7^2/4*PI()*Sheet!$D$76/100</f>
        <v>343.82706837075051</v>
      </c>
      <c r="C18" s="111">
        <f>(Sheet!$D$41^4*Sheet!$D$32^2*Sheet!$F$25^2*(Sheet!$D$5*60*Dreieck!A18/(PI()*Sheet!$D$7))^2*Sheet!$D$13*0.001*Sheet!$D$11*2*Sheet!$F$37*Sheet!$D$43*PI())/(144*10^8*Sheet!$D$65)</f>
        <v>133.65824203492909</v>
      </c>
      <c r="D18" s="111">
        <f t="shared" si="0"/>
        <v>210.16882633582142</v>
      </c>
      <c r="E18" s="111">
        <f t="shared" si="4"/>
        <v>24</v>
      </c>
      <c r="F18" s="113">
        <f>(-Sheet!$D$29+SQRT(Sheet!$D$29^2+4*Sheet!$F$69*D18))/(2*Sheet!$F$69)</f>
        <v>8.5190147955852868</v>
      </c>
      <c r="G18" s="111">
        <f>F18^2*Sheet!$F$69</f>
        <v>5.7124712417742645</v>
      </c>
      <c r="H18" s="111">
        <f>F18*Sheet!$D$77</f>
        <v>15.334226632053516</v>
      </c>
      <c r="I18" s="111">
        <f t="shared" si="1"/>
        <v>21.046697873827782</v>
      </c>
      <c r="J18" s="111">
        <f t="shared" si="2"/>
        <v>189.12212846199364</v>
      </c>
      <c r="K18" s="111">
        <f t="shared" si="3"/>
        <v>59.464880430408861</v>
      </c>
      <c r="L18" s="106">
        <f>J18/(B18/Sheet!$D$76)</f>
        <v>24.752256479157722</v>
      </c>
      <c r="N18" s="131"/>
      <c r="U18" s="108"/>
      <c r="V18" s="108"/>
      <c r="W18" s="108"/>
    </row>
    <row r="19" spans="1:23" x14ac:dyDescent="0.25">
      <c r="A19" s="106">
        <v>7</v>
      </c>
      <c r="B19" s="111">
        <f>A19^3*Sheet!$D$75/2*Sheet!$D$7^2/4*PI()*Sheet!$D$76/100</f>
        <v>429.43171397785125</v>
      </c>
      <c r="C19" s="111">
        <f>(Sheet!$D$41^4*Sheet!$D$32^2*Sheet!$F$25^2*(Sheet!$D$5*60*Dreieck!A19/(PI()*Sheet!$D$7))^2*Sheet!$D$13*0.001*Sheet!$D$11*2*Sheet!$F$37*Sheet!$D$43*PI())/(144*10^8*Sheet!$D$65)</f>
        <v>155.01192567364561</v>
      </c>
      <c r="D19" s="111">
        <f t="shared" si="0"/>
        <v>274.41978830420567</v>
      </c>
      <c r="E19" s="111">
        <f t="shared" si="4"/>
        <v>24</v>
      </c>
      <c r="F19" s="113">
        <f>(-Sheet!$D$29+SQRT(Sheet!$D$29^2+4*Sheet!$F$69*D19))/(2*Sheet!$F$69)</f>
        <v>11.034799355898814</v>
      </c>
      <c r="G19" s="111">
        <f>F19^2*Sheet!$F$69</f>
        <v>9.5846037626342682</v>
      </c>
      <c r="H19" s="111">
        <f>F19*Sheet!$D$77</f>
        <v>19.862638840617866</v>
      </c>
      <c r="I19" s="111">
        <f t="shared" si="1"/>
        <v>29.447242603252135</v>
      </c>
      <c r="J19" s="111">
        <f t="shared" si="2"/>
        <v>244.97254570095353</v>
      </c>
      <c r="K19" s="111">
        <f t="shared" si="3"/>
        <v>61.671082018695742</v>
      </c>
      <c r="L19" s="106">
        <f>J19/(B19/Sheet!$D$76)</f>
        <v>25.670587890282086</v>
      </c>
      <c r="N19" s="131"/>
      <c r="U19" s="108"/>
      <c r="V19" s="108"/>
      <c r="W19" s="108"/>
    </row>
    <row r="20" spans="1:23" x14ac:dyDescent="0.25">
      <c r="A20" s="106">
        <v>7.5</v>
      </c>
      <c r="B20" s="111">
        <f>A20^3*Sheet!$D$75/2*Sheet!$D$7^2/4*PI()*Sheet!$D$76/100</f>
        <v>528.18222838019244</v>
      </c>
      <c r="C20" s="111">
        <f>(Sheet!$D$41^4*Sheet!$D$32^2*Sheet!$F$25^2*(Sheet!$D$5*60*Dreieck!A20/(PI()*Sheet!$D$7))^2*Sheet!$D$13*0.001*Sheet!$D$11*2*Sheet!$F$37*Sheet!$D$43*PI())/(144*10^8*Sheet!$D$65)</f>
        <v>177.94736365597069</v>
      </c>
      <c r="D20" s="111">
        <f t="shared" si="0"/>
        <v>350.23486472422178</v>
      </c>
      <c r="E20" s="111">
        <f t="shared" si="4"/>
        <v>24</v>
      </c>
      <c r="F20" s="113">
        <f>(-Sheet!$D$29+SQRT(Sheet!$D$29^2+4*Sheet!$F$69*D20))/(2*Sheet!$F$69)</f>
        <v>13.954472359013474</v>
      </c>
      <c r="G20" s="111">
        <f>F20^2*Sheet!$F$69</f>
        <v>15.327528107898639</v>
      </c>
      <c r="H20" s="111">
        <f>F20*Sheet!$D$77</f>
        <v>25.118050246224254</v>
      </c>
      <c r="I20" s="111">
        <f t="shared" si="1"/>
        <v>40.445578354122894</v>
      </c>
      <c r="J20" s="111">
        <f t="shared" si="2"/>
        <v>309.78928637009886</v>
      </c>
      <c r="K20" s="111">
        <f t="shared" si="3"/>
        <v>63.407536001997542</v>
      </c>
      <c r="L20" s="106">
        <f>J20/(B20/Sheet!$D$76)</f>
        <v>26.393386860831452</v>
      </c>
      <c r="N20" s="131"/>
      <c r="U20" s="108"/>
      <c r="V20" s="108"/>
      <c r="W20" s="108"/>
    </row>
    <row r="21" spans="1:23" x14ac:dyDescent="0.25">
      <c r="A21" s="106">
        <v>8</v>
      </c>
      <c r="B21" s="111">
        <f>A21^3*Sheet!$D$75/2*Sheet!$D$7^2/4*PI()*Sheet!$D$76/100</f>
        <v>641.01760220600545</v>
      </c>
      <c r="C21" s="111">
        <f>(Sheet!$D$41^4*Sheet!$D$32^2*Sheet!$F$25^2*(Sheet!$D$5*60*Dreieck!A21/(PI()*Sheet!$D$7))^2*Sheet!$D$13*0.001*Sheet!$D$11*2*Sheet!$F$37*Sheet!$D$43*PI())/(144*10^8*Sheet!$D$65)</f>
        <v>202.46455598190448</v>
      </c>
      <c r="D21" s="111">
        <f t="shared" si="0"/>
        <v>438.55304622410097</v>
      </c>
      <c r="E21" s="111">
        <f t="shared" si="4"/>
        <v>24</v>
      </c>
      <c r="F21" s="113">
        <f>(-Sheet!$D$29+SQRT(Sheet!$D$29^2+4*Sheet!$F$69*D21))/(2*Sheet!$F$69)</f>
        <v>17.292332281617835</v>
      </c>
      <c r="G21" s="111">
        <f>F21^2*Sheet!$F$69</f>
        <v>23.537071465272955</v>
      </c>
      <c r="H21" s="111">
        <f>F21*Sheet!$D$77</f>
        <v>31.126198106912103</v>
      </c>
      <c r="I21" s="111">
        <f t="shared" si="1"/>
        <v>54.663269572185058</v>
      </c>
      <c r="J21" s="111">
        <f t="shared" si="2"/>
        <v>383.88977665191589</v>
      </c>
      <c r="K21" s="111">
        <f t="shared" si="3"/>
        <v>64.743303979576723</v>
      </c>
      <c r="L21" s="106">
        <f>J21/(B21/Sheet!$D$76)</f>
        <v>26.949400281498811</v>
      </c>
      <c r="N21" s="131"/>
      <c r="U21" s="108"/>
      <c r="V21" s="108"/>
      <c r="W21" s="108"/>
    </row>
    <row r="22" spans="1:23" x14ac:dyDescent="0.25">
      <c r="A22" s="106">
        <v>8.5</v>
      </c>
      <c r="B22" s="111">
        <f>A22^3*Sheet!$D$75/2*Sheet!$D$7^2/4*PI()*Sheet!$D$76/100</f>
        <v>768.87682608352156</v>
      </c>
      <c r="C22" s="111">
        <f>(Sheet!$D$41^4*Sheet!$D$32^2*Sheet!$F$25^2*(Sheet!$D$5*60*Dreieck!A22/(PI()*Sheet!$D$7))^2*Sheet!$D$13*0.001*Sheet!$D$11*2*Sheet!$F$37*Sheet!$D$43*PI())/(144*10^8*Sheet!$D$65)</f>
        <v>228.56350265144684</v>
      </c>
      <c r="D22" s="111">
        <f t="shared" si="0"/>
        <v>540.31332343207475</v>
      </c>
      <c r="E22" s="111">
        <f t="shared" si="4"/>
        <v>24</v>
      </c>
      <c r="F22" s="113">
        <f>(-Sheet!$D$29+SQRT(Sheet!$D$29^2+4*Sheet!$F$69*D22))/(2*Sheet!$F$69)</f>
        <v>21.058621482973656</v>
      </c>
      <c r="G22" s="111">
        <f>F22^2*Sheet!$F$69</f>
        <v>34.906407840706841</v>
      </c>
      <c r="H22" s="111">
        <f>F22*Sheet!$D$77</f>
        <v>37.905518669352581</v>
      </c>
      <c r="I22" s="111">
        <f t="shared" si="1"/>
        <v>72.811926510059422</v>
      </c>
      <c r="J22" s="111">
        <f t="shared" si="2"/>
        <v>467.50139692201532</v>
      </c>
      <c r="K22" s="111">
        <f t="shared" si="3"/>
        <v>65.73314456176189</v>
      </c>
      <c r="L22" s="106">
        <f>J22/(B22/Sheet!$D$76)</f>
        <v>27.361421423833395</v>
      </c>
      <c r="N22" s="131"/>
      <c r="U22" s="108"/>
      <c r="V22" s="108"/>
      <c r="W22" s="108"/>
    </row>
    <row r="23" spans="1:23" x14ac:dyDescent="0.25">
      <c r="A23" s="106">
        <v>9</v>
      </c>
      <c r="B23" s="111">
        <f>A23^3*Sheet!$D$75/2*Sheet!$D$7^2/4*PI()*Sheet!$D$76/100</f>
        <v>912.69889064097254</v>
      </c>
      <c r="C23" s="111">
        <f>(Sheet!$D$41^4*Sheet!$D$32^2*Sheet!$F$25^2*(Sheet!$D$5*60*Dreieck!A23/(PI()*Sheet!$D$7))^2*Sheet!$D$13*0.001*Sheet!$D$11*2*Sheet!$F$37*Sheet!$D$43*PI())/(144*10^8*Sheet!$D$65)</f>
        <v>256.24420366459776</v>
      </c>
      <c r="D23" s="111">
        <f t="shared" si="0"/>
        <v>656.45468697637477</v>
      </c>
      <c r="E23" s="111">
        <f t="shared" si="4"/>
        <v>24</v>
      </c>
      <c r="F23" s="113">
        <f>(-Sheet!$D$29+SQRT(Sheet!$D$29^2+4*Sheet!$F$69*D23))/(2*Sheet!$F$69)</f>
        <v>25.259664319742452</v>
      </c>
      <c r="G23" s="111">
        <f>F23^2*Sheet!$F$69</f>
        <v>50.222743302555777</v>
      </c>
      <c r="H23" s="111">
        <f>F23*Sheet!$D$77</f>
        <v>45.467395775536417</v>
      </c>
      <c r="I23" s="111">
        <f t="shared" si="1"/>
        <v>95.690139078092187</v>
      </c>
      <c r="J23" s="111">
        <f>IF(I23&gt;0,D23-I23,0)</f>
        <v>560.76454789828256</v>
      </c>
      <c r="K23" s="111">
        <f t="shared" si="3"/>
        <v>66.421899915762211</v>
      </c>
      <c r="L23" s="106">
        <f>J23/(B23/Sheet!$D$76)</f>
        <v>27.648115839936029</v>
      </c>
      <c r="N23" s="131"/>
      <c r="U23" s="108"/>
      <c r="V23" s="108"/>
      <c r="W23" s="108"/>
    </row>
    <row r="24" spans="1:23" x14ac:dyDescent="0.25">
      <c r="A24" s="106">
        <v>9.5</v>
      </c>
      <c r="B24" s="111">
        <f>A24^3*Sheet!$D$75/2*Sheet!$D$7^2/4*PI()*Sheet!$D$76/100</f>
        <v>1073.4227865065895</v>
      </c>
      <c r="C24" s="111">
        <f>(Sheet!$D$41^4*Sheet!$D$32^2*Sheet!$F$25^2*(Sheet!$D$5*60*Dreieck!A24/(PI()*Sheet!$D$7))^2*Sheet!$D$13*0.001*Sheet!$D$11*2*Sheet!$F$37*Sheet!$D$43*PI())/(144*10^8*Sheet!$D$65)</f>
        <v>285.50665902135751</v>
      </c>
      <c r="D24" s="111">
        <f t="shared" si="0"/>
        <v>787.91612748523198</v>
      </c>
      <c r="E24" s="111">
        <f t="shared" si="4"/>
        <v>24</v>
      </c>
      <c r="F24" s="113">
        <f>(-Sheet!$D$29+SQRT(Sheet!$D$29^2+4*Sheet!$F$69*D24))/(2*Sheet!$F$69)</f>
        <v>29.898122752852561</v>
      </c>
      <c r="G24" s="111">
        <f>F24^2*Sheet!$F$69</f>
        <v>70.361181416770663</v>
      </c>
      <c r="H24" s="111">
        <f>F24*Sheet!$D$77</f>
        <v>53.81662095513461</v>
      </c>
      <c r="I24" s="111">
        <f t="shared" si="1"/>
        <v>124.17780237190527</v>
      </c>
      <c r="J24" s="111">
        <f t="shared" si="2"/>
        <v>663.73832511332671</v>
      </c>
      <c r="K24" s="111">
        <f t="shared" si="3"/>
        <v>66.847374127739045</v>
      </c>
      <c r="L24" s="106">
        <f>J24/(B24/Sheet!$D$76)</f>
        <v>27.825219480671372</v>
      </c>
      <c r="N24" s="131"/>
      <c r="U24" s="108"/>
      <c r="V24" s="108"/>
      <c r="W24" s="108"/>
    </row>
    <row r="25" spans="1:23" x14ac:dyDescent="0.25">
      <c r="A25" s="106">
        <v>10</v>
      </c>
      <c r="B25" s="111">
        <f>A25^3*Sheet!$D$75/2*Sheet!$D$7^2/4*PI()*Sheet!$D$76/100</f>
        <v>1251.9875043086042</v>
      </c>
      <c r="C25" s="111">
        <f>(Sheet!$D$41^4*Sheet!$D$32^2*Sheet!$F$25^2*(Sheet!$D$5*60*Dreieck!A25/(PI()*Sheet!$D$7))^2*Sheet!$D$13*0.001*Sheet!$D$11*2*Sheet!$F$37*Sheet!$D$43*PI())/(144*10^8*Sheet!$D$65)</f>
        <v>316.35086872172582</v>
      </c>
      <c r="D25" s="111">
        <f t="shared" si="0"/>
        <v>935.63663558687836</v>
      </c>
      <c r="E25" s="111">
        <f t="shared" si="4"/>
        <v>24</v>
      </c>
      <c r="F25" s="113">
        <f>(-Sheet!$D$29+SQRT(Sheet!$D$29^2+4*Sheet!$F$69*D25))/(2*Sheet!$F$69)</f>
        <v>34.97334512350799</v>
      </c>
      <c r="G25" s="111">
        <f>F25^2*Sheet!$F$69</f>
        <v>96.276352622686389</v>
      </c>
      <c r="H25" s="111">
        <f>F25*Sheet!$D$77</f>
        <v>62.952021222314386</v>
      </c>
      <c r="I25" s="111">
        <f t="shared" si="1"/>
        <v>159.22837384500076</v>
      </c>
      <c r="J25" s="111">
        <f t="shared" si="2"/>
        <v>776.4082617418776</v>
      </c>
      <c r="K25" s="111">
        <f t="shared" si="3"/>
        <v>67.042225267872695</v>
      </c>
      <c r="L25" s="106">
        <f>J25/(B25/Sheet!$D$76)</f>
        <v>27.906326267752018</v>
      </c>
      <c r="N25" s="131"/>
      <c r="U25" s="108"/>
      <c r="V25" s="108"/>
      <c r="W25" s="108"/>
    </row>
    <row r="26" spans="1:23" x14ac:dyDescent="0.25">
      <c r="A26" s="106">
        <v>10.5</v>
      </c>
      <c r="B26" s="111">
        <f>A26^3*Sheet!$D$75/2*Sheet!$D$7^2/4*PI()*Sheet!$D$76/100</f>
        <v>1449.3320346752482</v>
      </c>
      <c r="C26" s="111">
        <f>(Sheet!$D$41^4*Sheet!$D$32^2*Sheet!$F$25^2*(Sheet!$D$5*60*Dreieck!A26/(PI()*Sheet!$D$7))^2*Sheet!$D$13*0.001*Sheet!$D$11*2*Sheet!$F$37*Sheet!$D$43*PI())/(144*10^8*Sheet!$D$65)</f>
        <v>348.77683276570264</v>
      </c>
      <c r="D26" s="111">
        <f t="shared" si="0"/>
        <v>1100.5552019095455</v>
      </c>
      <c r="E26" s="111">
        <f t="shared" si="4"/>
        <v>24</v>
      </c>
      <c r="F26" s="113">
        <f>(-Sheet!$D$29+SQRT(Sheet!$D$29^2+4*Sheet!$F$69*D26))/(2*Sheet!$F$69)</f>
        <v>40.481779184271311</v>
      </c>
      <c r="G26" s="111">
        <f>F26^2*Sheet!$F$69</f>
        <v>128.99250148703373</v>
      </c>
      <c r="H26" s="111">
        <f>F26*Sheet!$D$77</f>
        <v>72.867202531688363</v>
      </c>
      <c r="I26" s="111">
        <f t="shared" si="1"/>
        <v>201.85970401872208</v>
      </c>
      <c r="J26" s="111">
        <f t="shared" si="2"/>
        <v>898.69549789082339</v>
      </c>
      <c r="K26" s="111">
        <f t="shared" si="3"/>
        <v>67.035204989463253</v>
      </c>
      <c r="L26" s="106">
        <f>J26/(B26/Sheet!$D$76)</f>
        <v>27.903404076864092</v>
      </c>
      <c r="N26" s="131"/>
      <c r="U26" s="108"/>
      <c r="V26" s="108"/>
      <c r="W26" s="108"/>
    </row>
    <row r="27" spans="1:23" x14ac:dyDescent="0.25">
      <c r="A27" s="106">
        <v>11</v>
      </c>
      <c r="B27" s="111">
        <f>A27^3*Sheet!$D$75/2*Sheet!$D$7^2/4*PI()*Sheet!$D$76/100</f>
        <v>1666.3953682347521</v>
      </c>
      <c r="C27" s="111">
        <f>(Sheet!$D$41^4*Sheet!$D$32^2*Sheet!$F$25^2*(Sheet!$D$5*60*Dreieck!A27/(PI()*Sheet!$D$7))^2*Sheet!$D$13*0.001*Sheet!$D$11*2*Sheet!$F$37*Sheet!$D$43*PI())/(144*10^8*Sheet!$D$65)</f>
        <v>382.78455115328808</v>
      </c>
      <c r="D27" s="111">
        <f t="shared" si="0"/>
        <v>1283.6108170814641</v>
      </c>
      <c r="E27" s="111">
        <f t="shared" si="4"/>
        <v>24</v>
      </c>
      <c r="F27" s="113">
        <f>(-Sheet!$D$29+SQRT(Sheet!$D$29^2+4*Sheet!$F$69*D27))/(2*Sheet!$F$69)</f>
        <v>46.417419657273577</v>
      </c>
      <c r="G27" s="111">
        <f>F27^2*Sheet!$F$69</f>
        <v>169.59274530689845</v>
      </c>
      <c r="H27" s="111">
        <f>F27*Sheet!$D$77</f>
        <v>83.551355383092442</v>
      </c>
      <c r="I27" s="111">
        <f t="shared" si="1"/>
        <v>253.14410068999089</v>
      </c>
      <c r="J27" s="111">
        <f t="shared" si="2"/>
        <v>1030.4667163914733</v>
      </c>
      <c r="K27" s="111">
        <f t="shared" si="3"/>
        <v>66.85196640666787</v>
      </c>
      <c r="L27" s="106">
        <f>J27/(B27/Sheet!$D$76)</f>
        <v>27.827131016775496</v>
      </c>
      <c r="N27" s="131"/>
      <c r="U27" s="108"/>
      <c r="V27" s="108"/>
      <c r="W27" s="108"/>
    </row>
    <row r="28" spans="1:23" x14ac:dyDescent="0.25">
      <c r="A28" s="106">
        <v>11.5</v>
      </c>
      <c r="B28" s="111">
        <f>A28^3*Sheet!$D$75/2*Sheet!$D$7^2/4*PI()*Sheet!$D$76/100</f>
        <v>1904.1164956153486</v>
      </c>
      <c r="C28" s="111">
        <f>(Sheet!$D$41^4*Sheet!$D$32^2*Sheet!$F$25^2*(Sheet!$D$5*60*Dreieck!A28/(PI()*Sheet!$D$7))^2*Sheet!$D$13*0.001*Sheet!$D$11*2*Sheet!$F$37*Sheet!$D$43*PI())/(144*10^8*Sheet!$D$65)</f>
        <v>418.37402388448231</v>
      </c>
      <c r="D28" s="111">
        <f t="shared" si="0"/>
        <v>1485.7424717308663</v>
      </c>
      <c r="E28" s="111">
        <f t="shared" si="4"/>
        <v>24</v>
      </c>
      <c r="F28" s="113">
        <f>(-Sheet!$D$29+SQRT(Sheet!$D$29^2+4*Sheet!$F$69*D28))/(2*Sheet!$F$69)</f>
        <v>52.772262971018797</v>
      </c>
      <c r="G28" s="111">
        <f>F28^2*Sheet!$F$69</f>
        <v>219.20816042641459</v>
      </c>
      <c r="H28" s="111">
        <f>F28*Sheet!$D$77</f>
        <v>94.990073347833842</v>
      </c>
      <c r="I28" s="111">
        <f t="shared" si="1"/>
        <v>314.19823377424842</v>
      </c>
      <c r="J28" s="111">
        <f t="shared" si="2"/>
        <v>1171.544237956618</v>
      </c>
      <c r="K28" s="111">
        <f t="shared" si="3"/>
        <v>66.515589472646653</v>
      </c>
      <c r="L28" s="106">
        <f>J28/(B28/Sheet!$D$76)</f>
        <v>27.687114117989186</v>
      </c>
      <c r="N28" s="131"/>
      <c r="U28" s="108"/>
      <c r="V28" s="108"/>
      <c r="W28" s="108"/>
    </row>
    <row r="29" spans="1:23" x14ac:dyDescent="0.25">
      <c r="A29" s="106">
        <v>12</v>
      </c>
      <c r="B29" s="111">
        <f>A29^3*Sheet!$D$75/2*Sheet!$D$7^2/4*PI()*Sheet!$D$76/100</f>
        <v>2163.4344074452683</v>
      </c>
      <c r="C29" s="111">
        <f>(Sheet!$D$41^4*Sheet!$D$32^2*Sheet!$F$25^2*(Sheet!$D$5*60*Dreieck!A29/(PI()*Sheet!$D$7))^2*Sheet!$D$13*0.001*Sheet!$D$11*2*Sheet!$F$37*Sheet!$D$43*PI())/(144*10^8*Sheet!$D$65)</f>
        <v>455.54525095928506</v>
      </c>
      <c r="D29" s="111">
        <f t="shared" si="0"/>
        <v>1707.8891564859832</v>
      </c>
      <c r="E29" s="111">
        <f t="shared" si="4"/>
        <v>24</v>
      </c>
      <c r="F29" s="113">
        <f>(-Sheet!$D$29+SQRT(Sheet!$D$29^2+4*Sheet!$F$69*D29))/(2*Sheet!$F$69)</f>
        <v>59.536746420200537</v>
      </c>
      <c r="G29" s="111">
        <f>F29^2*Sheet!$F$69</f>
        <v>279.00724240117012</v>
      </c>
      <c r="H29" s="111">
        <f>F29*Sheet!$D$77</f>
        <v>107.16614355636096</v>
      </c>
      <c r="I29" s="111">
        <f t="shared" si="1"/>
        <v>386.17338595753108</v>
      </c>
      <c r="J29" s="111">
        <f>IF(I29&gt;0,D29-I29,0)</f>
        <v>1321.7157705284521</v>
      </c>
      <c r="K29" s="111">
        <f t="shared" si="3"/>
        <v>66.046925627485734</v>
      </c>
      <c r="L29" s="106">
        <f>J29/(B29/Sheet!$D$76)</f>
        <v>27.492032792440941</v>
      </c>
      <c r="N29" s="131"/>
      <c r="U29" s="108"/>
      <c r="V29" s="108"/>
      <c r="W29" s="108"/>
    </row>
    <row r="30" spans="1:23" x14ac:dyDescent="0.25">
      <c r="B30" s="112"/>
      <c r="C30" s="112"/>
      <c r="D30" s="112"/>
      <c r="E30" s="112"/>
      <c r="F30" s="112"/>
      <c r="G30" s="112"/>
      <c r="H30" s="112"/>
      <c r="I30" s="112"/>
      <c r="J30" s="112"/>
      <c r="K30" s="112"/>
      <c r="U30" s="108"/>
      <c r="V30" s="108"/>
      <c r="W30" s="108"/>
    </row>
    <row r="31" spans="1:23" x14ac:dyDescent="0.25">
      <c r="A31" s="1"/>
      <c r="C31" s="1"/>
      <c r="U31" s="108"/>
      <c r="V31" s="108"/>
      <c r="W31" s="108"/>
    </row>
    <row r="32" spans="1:23" x14ac:dyDescent="0.25">
      <c r="A32" s="1"/>
      <c r="C32" s="1"/>
    </row>
    <row r="33" spans="1:3" x14ac:dyDescent="0.25">
      <c r="A33" s="1"/>
      <c r="C33" s="1"/>
    </row>
  </sheetData>
  <pageMargins left="0.7" right="0.7" top="0.78740157499999996" bottom="0.78740157499999996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Sheet</vt:lpstr>
      <vt:lpstr>Stern</vt:lpstr>
      <vt:lpstr>Dreieck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</dc:creator>
  <cp:lastModifiedBy>Andreas Georgi</cp:lastModifiedBy>
  <dcterms:created xsi:type="dcterms:W3CDTF">2012-08-05T19:21:51Z</dcterms:created>
  <dcterms:modified xsi:type="dcterms:W3CDTF">2025-08-04T15:26:41Z</dcterms:modified>
</cp:coreProperties>
</file>