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-12" yWindow="-12" windowWidth="23064" windowHeight="9540" tabRatio="657"/>
  </bookViews>
  <sheets>
    <sheet name="Sheet" sheetId="1" r:id="rId1"/>
    <sheet name="Stern" sheetId="5" r:id="rId2"/>
    <sheet name="Dreieck" sheetId="7" r:id="rId3"/>
  </sheets>
  <definedNames>
    <definedName name="solver_adj" localSheetId="0" hidden="1">Sheet!$H$11,Sheet!$D$15,Sheet!$D$16,Sheet!$G$23,Sheet!$D$24,Sheet!$D$29,Sheet!$D$30,Sheet!$D$31,Sheet!$D$32,Sheet!$D$41,Sheet!$D$43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Sheet!$D$15</definedName>
    <definedName name="solver_lhs10" localSheetId="0" hidden="1">Sheet!$D$30</definedName>
    <definedName name="solver_lhs11" localSheetId="0" hidden="1">Sheet!$D$30</definedName>
    <definedName name="solver_lhs12" localSheetId="0" hidden="1">Sheet!$D$31</definedName>
    <definedName name="solver_lhs13" localSheetId="0" hidden="1">Sheet!$D$31</definedName>
    <definedName name="solver_lhs14" localSheetId="0" hidden="1">Sheet!$D$31</definedName>
    <definedName name="solver_lhs15" localSheetId="0" hidden="1">Sheet!$D$32</definedName>
    <definedName name="solver_lhs16" localSheetId="0" hidden="1">Sheet!$D$32</definedName>
    <definedName name="solver_lhs17" localSheetId="0" hidden="1">Sheet!$D$32</definedName>
    <definedName name="solver_lhs18" localSheetId="0" hidden="1">Sheet!$D$41</definedName>
    <definedName name="solver_lhs19" localSheetId="0" hidden="1">Sheet!$D$41</definedName>
    <definedName name="solver_lhs2" localSheetId="0" hidden="1">Sheet!$D$15</definedName>
    <definedName name="solver_lhs20" localSheetId="0" hidden="1">Sheet!$D$43</definedName>
    <definedName name="solver_lhs21" localSheetId="0" hidden="1">Sheet!$D$43</definedName>
    <definedName name="solver_lhs22" localSheetId="0" hidden="1">Sheet!$D$43</definedName>
    <definedName name="solver_lhs23" localSheetId="0" hidden="1">Sheet!$F$18</definedName>
    <definedName name="solver_lhs24" localSheetId="0" hidden="1">Sheet!$F$18</definedName>
    <definedName name="solver_lhs25" localSheetId="0" hidden="1">Sheet!$F$47</definedName>
    <definedName name="solver_lhs26" localSheetId="0" hidden="1">Sheet!$F$78</definedName>
    <definedName name="solver_lhs27" localSheetId="0" hidden="1">Sheet!$G$23</definedName>
    <definedName name="solver_lhs28" localSheetId="0" hidden="1">Sheet!$G$23</definedName>
    <definedName name="solver_lhs29" localSheetId="0" hidden="1">Sheet!$G$23</definedName>
    <definedName name="solver_lhs3" localSheetId="0" hidden="1">Sheet!$D$16</definedName>
    <definedName name="solver_lhs30" localSheetId="0" hidden="1">Sheet!#REF!</definedName>
    <definedName name="solver_lhs31" localSheetId="0" hidden="1">Sheet!$H$11</definedName>
    <definedName name="solver_lhs32" localSheetId="0" hidden="1">Sheet!$H$11</definedName>
    <definedName name="solver_lhs33" localSheetId="0" hidden="1">Sheet!$H$11</definedName>
    <definedName name="solver_lhs34" localSheetId="0" hidden="1">Sheet!$H$11</definedName>
    <definedName name="solver_lhs4" localSheetId="0" hidden="1">Sheet!$D$16</definedName>
    <definedName name="solver_lhs5" localSheetId="0" hidden="1">Sheet!$D$24</definedName>
    <definedName name="solver_lhs6" localSheetId="0" hidden="1">Sheet!$D$24</definedName>
    <definedName name="solver_lhs7" localSheetId="0" hidden="1">Sheet!$D$29</definedName>
    <definedName name="solver_lhs8" localSheetId="0" hidden="1">Sheet!$D$29</definedName>
    <definedName name="solver_lhs9" localSheetId="0" hidden="1">Sheet!$D$30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33</definedName>
    <definedName name="solver_nwt" localSheetId="0" hidden="1">1</definedName>
    <definedName name="solver_opt" localSheetId="0" hidden="1">Sheet!$F$83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10" localSheetId="0" hidden="1">4</definedName>
    <definedName name="solver_rel11" localSheetId="0" hidden="1">3</definedName>
    <definedName name="solver_rel12" localSheetId="0" hidden="1">1</definedName>
    <definedName name="solver_rel13" localSheetId="0" hidden="1">4</definedName>
    <definedName name="solver_rel14" localSheetId="0" hidden="1">3</definedName>
    <definedName name="solver_rel15" localSheetId="0" hidden="1">1</definedName>
    <definedName name="solver_rel16" localSheetId="0" hidden="1">4</definedName>
    <definedName name="solver_rel17" localSheetId="0" hidden="1">3</definedName>
    <definedName name="solver_rel18" localSheetId="0" hidden="1">1</definedName>
    <definedName name="solver_rel19" localSheetId="0" hidden="1">3</definedName>
    <definedName name="solver_rel2" localSheetId="0" hidden="1">3</definedName>
    <definedName name="solver_rel20" localSheetId="0" hidden="1">1</definedName>
    <definedName name="solver_rel21" localSheetId="0" hidden="1">4</definedName>
    <definedName name="solver_rel22" localSheetId="0" hidden="1">3</definedName>
    <definedName name="solver_rel23" localSheetId="0" hidden="1">1</definedName>
    <definedName name="solver_rel24" localSheetId="0" hidden="1">3</definedName>
    <definedName name="solver_rel25" localSheetId="0" hidden="1">1</definedName>
    <definedName name="solver_rel26" localSheetId="0" hidden="1">1</definedName>
    <definedName name="solver_rel27" localSheetId="0" hidden="1">1</definedName>
    <definedName name="solver_rel28" localSheetId="0" hidden="1">4</definedName>
    <definedName name="solver_rel29" localSheetId="0" hidden="1">3</definedName>
    <definedName name="solver_rel3" localSheetId="0" hidden="1">1</definedName>
    <definedName name="solver_rel30" localSheetId="0" hidden="1">1</definedName>
    <definedName name="solver_rel31" localSheetId="0" hidden="1">1</definedName>
    <definedName name="solver_rel32" localSheetId="0" hidden="1">4</definedName>
    <definedName name="solver_rel33" localSheetId="0" hidden="1">3</definedName>
    <definedName name="solver_rel34" localSheetId="0" hidden="1">3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el7" localSheetId="0" hidden="1">1</definedName>
    <definedName name="solver_rel8" localSheetId="0" hidden="1">3</definedName>
    <definedName name="solver_rel9" localSheetId="0" hidden="1">1</definedName>
    <definedName name="solver_rhs1" localSheetId="0" hidden="1">Sheet!#REF!</definedName>
    <definedName name="solver_rhs10" localSheetId="0" hidden="1">Ganzzahlig</definedName>
    <definedName name="solver_rhs11" localSheetId="0" hidden="1">Sheet!#REF!</definedName>
    <definedName name="solver_rhs12" localSheetId="0" hidden="1">Sheet!#REF!</definedName>
    <definedName name="solver_rhs13" localSheetId="0" hidden="1">Ganzzahlig</definedName>
    <definedName name="solver_rhs14" localSheetId="0" hidden="1">Sheet!#REF!</definedName>
    <definedName name="solver_rhs15" localSheetId="0" hidden="1">Sheet!#REF!</definedName>
    <definedName name="solver_rhs16" localSheetId="0" hidden="1">Ganzzahlig</definedName>
    <definedName name="solver_rhs17" localSheetId="0" hidden="1">Sheet!#REF!</definedName>
    <definedName name="solver_rhs18" localSheetId="0" hidden="1">Sheet!#REF!</definedName>
    <definedName name="solver_rhs19" localSheetId="0" hidden="1">Sheet!#REF!</definedName>
    <definedName name="solver_rhs2" localSheetId="0" hidden="1">Sheet!#REF!</definedName>
    <definedName name="solver_rhs20" localSheetId="0" hidden="1">Sheet!#REF!</definedName>
    <definedName name="solver_rhs21" localSheetId="0" hidden="1">Ganzzahlig</definedName>
    <definedName name="solver_rhs22" localSheetId="0" hidden="1">Sheet!#REF!</definedName>
    <definedName name="solver_rhs23" localSheetId="0" hidden="1">Sheet!#REF!</definedName>
    <definedName name="solver_rhs24" localSheetId="0" hidden="1">Sheet!#REF!</definedName>
    <definedName name="solver_rhs25" localSheetId="0" hidden="1">Sheet!#REF!</definedName>
    <definedName name="solver_rhs26" localSheetId="0" hidden="1">Sheet!$G$42</definedName>
    <definedName name="solver_rhs27" localSheetId="0" hidden="1">Sheet!#REF!</definedName>
    <definedName name="solver_rhs28" localSheetId="0" hidden="1">Ganzzahlig</definedName>
    <definedName name="solver_rhs29" localSheetId="0" hidden="1">Sheet!#REF!</definedName>
    <definedName name="solver_rhs3" localSheetId="0" hidden="1">Sheet!#REF!</definedName>
    <definedName name="solver_rhs30" localSheetId="0" hidden="1">Sheet!#REF!</definedName>
    <definedName name="solver_rhs31" localSheetId="0" hidden="1">Sheet!#REF!</definedName>
    <definedName name="solver_rhs32" localSheetId="0" hidden="1">Ganzzahlig</definedName>
    <definedName name="solver_rhs33" localSheetId="0" hidden="1">Sheet!#REF!</definedName>
    <definedName name="solver_rhs34" localSheetId="0" hidden="1">Sheet!#REF!</definedName>
    <definedName name="solver_rhs4" localSheetId="0" hidden="1">Sheet!#REF!</definedName>
    <definedName name="solver_rhs5" localSheetId="0" hidden="1">Sheet!#REF!</definedName>
    <definedName name="solver_rhs6" localSheetId="0" hidden="1">Sheet!#REF!</definedName>
    <definedName name="solver_rhs7" localSheetId="0" hidden="1">Sheet!#REF!</definedName>
    <definedName name="solver_rhs8" localSheetId="0" hidden="1">Sheet!#REF!</definedName>
    <definedName name="solver_rhs9" localSheetId="0" hidden="1">Sheet!#REF!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E41" i="1" l="1"/>
  <c r="G41" i="1" s="1"/>
  <c r="B29" i="7" l="1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E7" i="7"/>
  <c r="E8" i="7" s="1"/>
  <c r="B7" i="7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7" i="5"/>
  <c r="G42" i="1"/>
  <c r="E7" i="5"/>
  <c r="E8" i="5" s="1"/>
  <c r="E9" i="5" s="1"/>
  <c r="E10" i="5" s="1"/>
  <c r="E11" i="5" s="1"/>
  <c r="E12" i="5" s="1"/>
  <c r="F75" i="1"/>
  <c r="F50" i="1"/>
  <c r="F5" i="1"/>
  <c r="F7" i="1" s="1"/>
  <c r="F90" i="1"/>
  <c r="D80" i="1"/>
  <c r="F25" i="1"/>
  <c r="F18" i="1"/>
  <c r="F19" i="1"/>
  <c r="F11" i="1" l="1"/>
  <c r="E9" i="7"/>
  <c r="F35" i="1"/>
  <c r="F47" i="1" s="1"/>
  <c r="F37" i="1"/>
  <c r="C11" i="7" s="1"/>
  <c r="D11" i="7" s="1"/>
  <c r="E13" i="5"/>
  <c r="C12" i="7" l="1"/>
  <c r="D12" i="7" s="1"/>
  <c r="F12" i="1"/>
  <c r="F14" i="1"/>
  <c r="C20" i="7"/>
  <c r="D20" i="7" s="1"/>
  <c r="C15" i="7"/>
  <c r="D15" i="7" s="1"/>
  <c r="C23" i="7"/>
  <c r="D23" i="7" s="1"/>
  <c r="C25" i="5"/>
  <c r="C27" i="7"/>
  <c r="D27" i="7" s="1"/>
  <c r="C8" i="7"/>
  <c r="D8" i="7" s="1"/>
  <c r="C24" i="7"/>
  <c r="D24" i="7" s="1"/>
  <c r="C14" i="5"/>
  <c r="C7" i="5"/>
  <c r="C9" i="7"/>
  <c r="D9" i="7" s="1"/>
  <c r="C25" i="7"/>
  <c r="D25" i="7" s="1"/>
  <c r="C14" i="7"/>
  <c r="D14" i="7" s="1"/>
  <c r="C7" i="7"/>
  <c r="D7" i="7" s="1"/>
  <c r="C20" i="5"/>
  <c r="C17" i="5"/>
  <c r="C28" i="7"/>
  <c r="D28" i="7" s="1"/>
  <c r="C18" i="5"/>
  <c r="C11" i="5"/>
  <c r="C13" i="7"/>
  <c r="D13" i="7" s="1"/>
  <c r="C29" i="7"/>
  <c r="D29" i="7" s="1"/>
  <c r="C15" i="5"/>
  <c r="C18" i="7"/>
  <c r="D18" i="7" s="1"/>
  <c r="C8" i="5"/>
  <c r="C24" i="5"/>
  <c r="C21" i="5"/>
  <c r="C19" i="7"/>
  <c r="D19" i="7" s="1"/>
  <c r="C13" i="5"/>
  <c r="C16" i="7"/>
  <c r="D16" i="7" s="1"/>
  <c r="C22" i="5"/>
  <c r="C19" i="5"/>
  <c r="C17" i="7"/>
  <c r="D17" i="7" s="1"/>
  <c r="C23" i="5"/>
  <c r="C22" i="7"/>
  <c r="D22" i="7" s="1"/>
  <c r="C12" i="5"/>
  <c r="C28" i="5"/>
  <c r="D28" i="5" s="1"/>
  <c r="C29" i="5"/>
  <c r="D29" i="5" s="1"/>
  <c r="C10" i="5"/>
  <c r="C26" i="5"/>
  <c r="C27" i="5"/>
  <c r="C21" i="7"/>
  <c r="D21" i="7" s="1"/>
  <c r="C10" i="7"/>
  <c r="D10" i="7" s="1"/>
  <c r="C26" i="7"/>
  <c r="D26" i="7" s="1"/>
  <c r="C16" i="5"/>
  <c r="C9" i="5"/>
  <c r="E10" i="7"/>
  <c r="F55" i="1"/>
  <c r="F57" i="1" s="1"/>
  <c r="F76" i="1"/>
  <c r="F77" i="1" s="1"/>
  <c r="F49" i="1"/>
  <c r="F91" i="1"/>
  <c r="F92" i="1" s="1"/>
  <c r="F59" i="1"/>
  <c r="F61" i="1" s="1"/>
  <c r="E14" i="5"/>
  <c r="E11" i="7" l="1"/>
  <c r="F69" i="1"/>
  <c r="F13" i="7" s="1"/>
  <c r="F60" i="1"/>
  <c r="F67" i="1"/>
  <c r="F56" i="1"/>
  <c r="E15" i="5"/>
  <c r="F29" i="7" l="1"/>
  <c r="G29" i="7" s="1"/>
  <c r="F18" i="7"/>
  <c r="G18" i="7" s="1"/>
  <c r="F27" i="7"/>
  <c r="H27" i="7" s="1"/>
  <c r="F24" i="7"/>
  <c r="H24" i="7" s="1"/>
  <c r="F16" i="7"/>
  <c r="G16" i="7" s="1"/>
  <c r="F9" i="7"/>
  <c r="H9" i="7" s="1"/>
  <c r="F22" i="7"/>
  <c r="G22" i="7" s="1"/>
  <c r="F93" i="1"/>
  <c r="F94" i="1" s="1"/>
  <c r="F20" i="7"/>
  <c r="F26" i="7"/>
  <c r="F28" i="7"/>
  <c r="F11" i="7"/>
  <c r="F15" i="7"/>
  <c r="F23" i="7"/>
  <c r="F12" i="7"/>
  <c r="F14" i="7"/>
  <c r="F7" i="7"/>
  <c r="F8" i="7"/>
  <c r="F25" i="7"/>
  <c r="G13" i="7"/>
  <c r="H13" i="7"/>
  <c r="F29" i="5"/>
  <c r="F28" i="5"/>
  <c r="F21" i="7"/>
  <c r="F10" i="7"/>
  <c r="F19" i="7"/>
  <c r="F17" i="7"/>
  <c r="E12" i="7"/>
  <c r="F78" i="1"/>
  <c r="F79" i="1" s="1"/>
  <c r="E16" i="5"/>
  <c r="G9" i="7" l="1"/>
  <c r="I9" i="7" s="1"/>
  <c r="J9" i="7" s="1"/>
  <c r="L9" i="7" s="1"/>
  <c r="G24" i="7"/>
  <c r="I24" i="7" s="1"/>
  <c r="J24" i="7" s="1"/>
  <c r="L24" i="7" s="1"/>
  <c r="H18" i="7"/>
  <c r="I18" i="7" s="1"/>
  <c r="J18" i="7" s="1"/>
  <c r="L18" i="7" s="1"/>
  <c r="H16" i="7"/>
  <c r="I16" i="7" s="1"/>
  <c r="J16" i="7" s="1"/>
  <c r="L16" i="7" s="1"/>
  <c r="H29" i="7"/>
  <c r="I29" i="7" s="1"/>
  <c r="J29" i="7" s="1"/>
  <c r="L29" i="7" s="1"/>
  <c r="K9" i="7"/>
  <c r="F97" i="1"/>
  <c r="F98" i="1" s="1"/>
  <c r="G27" i="7"/>
  <c r="I27" i="7" s="1"/>
  <c r="J27" i="7" s="1"/>
  <c r="L27" i="7" s="1"/>
  <c r="H22" i="7"/>
  <c r="I22" i="7" s="1"/>
  <c r="J22" i="7" s="1"/>
  <c r="L22" i="7" s="1"/>
  <c r="I13" i="7"/>
  <c r="J13" i="7" s="1"/>
  <c r="L13" i="7" s="1"/>
  <c r="G14" i="7"/>
  <c r="H14" i="7"/>
  <c r="G11" i="7"/>
  <c r="H11" i="7"/>
  <c r="F96" i="1"/>
  <c r="G17" i="7"/>
  <c r="H17" i="7"/>
  <c r="G25" i="7"/>
  <c r="H25" i="7"/>
  <c r="G12" i="7"/>
  <c r="H12" i="7"/>
  <c r="G28" i="7"/>
  <c r="H28" i="7"/>
  <c r="G23" i="7"/>
  <c r="H23" i="7"/>
  <c r="G26" i="7"/>
  <c r="H26" i="7"/>
  <c r="G19" i="7"/>
  <c r="H19" i="7"/>
  <c r="G8" i="7"/>
  <c r="K8" i="7"/>
  <c r="H8" i="7"/>
  <c r="K11" i="7"/>
  <c r="G10" i="7"/>
  <c r="H10" i="7"/>
  <c r="K10" i="7"/>
  <c r="H7" i="7"/>
  <c r="G7" i="7"/>
  <c r="K7" i="7"/>
  <c r="G15" i="7"/>
  <c r="H15" i="7"/>
  <c r="G20" i="7"/>
  <c r="H20" i="7"/>
  <c r="G21" i="7"/>
  <c r="H21" i="7"/>
  <c r="F81" i="1"/>
  <c r="F80" i="1"/>
  <c r="K12" i="7"/>
  <c r="E13" i="7"/>
  <c r="F82" i="1"/>
  <c r="F83" i="1" s="1"/>
  <c r="F84" i="1" s="1"/>
  <c r="F95" i="1"/>
  <c r="F101" i="1" s="1"/>
  <c r="E17" i="5"/>
  <c r="I17" i="7" l="1"/>
  <c r="J17" i="7" s="1"/>
  <c r="L17" i="7" s="1"/>
  <c r="I8" i="7"/>
  <c r="J8" i="7" s="1"/>
  <c r="L8" i="7" s="1"/>
  <c r="I15" i="7"/>
  <c r="J15" i="7" s="1"/>
  <c r="L15" i="7" s="1"/>
  <c r="I7" i="7"/>
  <c r="J7" i="7" s="1"/>
  <c r="L7" i="7" s="1"/>
  <c r="I10" i="7"/>
  <c r="J10" i="7" s="1"/>
  <c r="L10" i="7" s="1"/>
  <c r="I26" i="7"/>
  <c r="J26" i="7" s="1"/>
  <c r="L26" i="7" s="1"/>
  <c r="I12" i="7"/>
  <c r="J12" i="7" s="1"/>
  <c r="L12" i="7" s="1"/>
  <c r="I11" i="7"/>
  <c r="J11" i="7" s="1"/>
  <c r="L11" i="7" s="1"/>
  <c r="I21" i="7"/>
  <c r="J21" i="7" s="1"/>
  <c r="L21" i="7" s="1"/>
  <c r="I20" i="7"/>
  <c r="J20" i="7" s="1"/>
  <c r="L20" i="7" s="1"/>
  <c r="I19" i="7"/>
  <c r="J19" i="7" s="1"/>
  <c r="L19" i="7" s="1"/>
  <c r="I23" i="7"/>
  <c r="I28" i="7"/>
  <c r="J28" i="7" s="1"/>
  <c r="L28" i="7" s="1"/>
  <c r="I25" i="7"/>
  <c r="J25" i="7" s="1"/>
  <c r="L25" i="7" s="1"/>
  <c r="I14" i="7"/>
  <c r="J14" i="7" s="1"/>
  <c r="L14" i="7" s="1"/>
  <c r="E14" i="7"/>
  <c r="K13" i="7"/>
  <c r="F100" i="1"/>
  <c r="F99" i="1"/>
  <c r="E18" i="5"/>
  <c r="J23" i="7" l="1"/>
  <c r="L23" i="7" s="1"/>
  <c r="E15" i="7"/>
  <c r="K14" i="7"/>
  <c r="F85" i="1"/>
  <c r="F86" i="1"/>
  <c r="E19" i="5"/>
  <c r="E16" i="7" l="1"/>
  <c r="K15" i="7"/>
  <c r="E20" i="5"/>
  <c r="K16" i="7" l="1"/>
  <c r="E17" i="7"/>
  <c r="E21" i="5"/>
  <c r="E18" i="7" l="1"/>
  <c r="K17" i="7"/>
  <c r="E22" i="5"/>
  <c r="E19" i="7" l="1"/>
  <c r="K18" i="7"/>
  <c r="E23" i="5"/>
  <c r="E20" i="7" l="1"/>
  <c r="K19" i="7"/>
  <c r="E24" i="5"/>
  <c r="K20" i="7" l="1"/>
  <c r="E21" i="7"/>
  <c r="E25" i="5"/>
  <c r="E22" i="7" l="1"/>
  <c r="K21" i="7"/>
  <c r="E26" i="5"/>
  <c r="E23" i="7" l="1"/>
  <c r="K22" i="7"/>
  <c r="E27" i="5"/>
  <c r="E24" i="7" l="1"/>
  <c r="K23" i="7"/>
  <c r="E28" i="5"/>
  <c r="K24" i="7" l="1"/>
  <c r="E25" i="7"/>
  <c r="E29" i="5"/>
  <c r="E26" i="7" l="1"/>
  <c r="K25" i="7"/>
  <c r="H28" i="5"/>
  <c r="D26" i="5" s="1"/>
  <c r="F26" i="5" s="1"/>
  <c r="G28" i="5"/>
  <c r="K28" i="5"/>
  <c r="E27" i="7" l="1"/>
  <c r="K26" i="7"/>
  <c r="H26" i="5"/>
  <c r="G26" i="5"/>
  <c r="K26" i="5"/>
  <c r="H29" i="5"/>
  <c r="D27" i="5" s="1"/>
  <c r="F27" i="5" s="1"/>
  <c r="G29" i="5"/>
  <c r="I28" i="5"/>
  <c r="J28" i="5" s="1"/>
  <c r="L28" i="5" s="1"/>
  <c r="K29" i="5"/>
  <c r="E28" i="7" l="1"/>
  <c r="K27" i="7"/>
  <c r="D24" i="5"/>
  <c r="F24" i="5" s="1"/>
  <c r="I26" i="5"/>
  <c r="J26" i="5" s="1"/>
  <c r="L26" i="5" s="1"/>
  <c r="H27" i="5"/>
  <c r="G27" i="5"/>
  <c r="K27" i="5"/>
  <c r="I29" i="5"/>
  <c r="J29" i="5" l="1"/>
  <c r="L29" i="5" s="1"/>
  <c r="K28" i="7"/>
  <c r="E29" i="7"/>
  <c r="K29" i="7" s="1"/>
  <c r="H24" i="5"/>
  <c r="G24" i="5"/>
  <c r="K24" i="5"/>
  <c r="D25" i="5"/>
  <c r="F25" i="5" s="1"/>
  <c r="I27" i="5"/>
  <c r="J27" i="5" s="1"/>
  <c r="L27" i="5" s="1"/>
  <c r="H25" i="5" l="1"/>
  <c r="G25" i="5"/>
  <c r="K25" i="5"/>
  <c r="D22" i="5"/>
  <c r="F22" i="5" s="1"/>
  <c r="I24" i="5"/>
  <c r="J24" i="5" s="1"/>
  <c r="L24" i="5" s="1"/>
  <c r="H22" i="5" l="1"/>
  <c r="G22" i="5"/>
  <c r="K22" i="5"/>
  <c r="D23" i="5"/>
  <c r="F23" i="5" s="1"/>
  <c r="I25" i="5"/>
  <c r="J25" i="5" s="1"/>
  <c r="L25" i="5" s="1"/>
  <c r="H23" i="5" l="1"/>
  <c r="G23" i="5"/>
  <c r="K23" i="5"/>
  <c r="D20" i="5"/>
  <c r="F20" i="5" s="1"/>
  <c r="I22" i="5"/>
  <c r="J22" i="5" s="1"/>
  <c r="L22" i="5" s="1"/>
  <c r="G20" i="5" l="1"/>
  <c r="H20" i="5"/>
  <c r="K20" i="5"/>
  <c r="D21" i="5"/>
  <c r="F21" i="5" s="1"/>
  <c r="I23" i="5"/>
  <c r="J23" i="5" s="1"/>
  <c r="L23" i="5" s="1"/>
  <c r="H21" i="5" l="1"/>
  <c r="G21" i="5"/>
  <c r="K21" i="5"/>
  <c r="I20" i="5"/>
  <c r="J20" i="5" s="1"/>
  <c r="L20" i="5" s="1"/>
  <c r="D18" i="5"/>
  <c r="F18" i="5" s="1"/>
  <c r="H18" i="5" l="1"/>
  <c r="G18" i="5"/>
  <c r="K18" i="5"/>
  <c r="D19" i="5"/>
  <c r="F19" i="5" s="1"/>
  <c r="I21" i="5"/>
  <c r="J21" i="5" s="1"/>
  <c r="L21" i="5" s="1"/>
  <c r="H19" i="5" l="1"/>
  <c r="G19" i="5"/>
  <c r="K19" i="5"/>
  <c r="D16" i="5"/>
  <c r="F16" i="5" s="1"/>
  <c r="I18" i="5"/>
  <c r="J18" i="5" s="1"/>
  <c r="L18" i="5" s="1"/>
  <c r="G16" i="5" l="1"/>
  <c r="K16" i="5"/>
  <c r="H16" i="5"/>
  <c r="D17" i="5"/>
  <c r="F17" i="5" s="1"/>
  <c r="I19" i="5"/>
  <c r="J19" i="5" s="1"/>
  <c r="L19" i="5" s="1"/>
  <c r="G17" i="5" l="1"/>
  <c r="H17" i="5"/>
  <c r="K17" i="5"/>
  <c r="D14" i="5"/>
  <c r="F14" i="5" s="1"/>
  <c r="I16" i="5"/>
  <c r="J16" i="5" s="1"/>
  <c r="L16" i="5" s="1"/>
  <c r="G14" i="5" l="1"/>
  <c r="K14" i="5"/>
  <c r="H14" i="5"/>
  <c r="D15" i="5"/>
  <c r="F15" i="5" s="1"/>
  <c r="I17" i="5"/>
  <c r="J17" i="5" s="1"/>
  <c r="L17" i="5" s="1"/>
  <c r="G15" i="5" l="1"/>
  <c r="K15" i="5"/>
  <c r="H15" i="5"/>
  <c r="D12" i="5"/>
  <c r="F12" i="5" s="1"/>
  <c r="I14" i="5"/>
  <c r="J14" i="5" s="1"/>
  <c r="L14" i="5" s="1"/>
  <c r="K12" i="5" l="1"/>
  <c r="G12" i="5"/>
  <c r="H12" i="5"/>
  <c r="D13" i="5"/>
  <c r="F13" i="5" s="1"/>
  <c r="G13" i="5" s="1"/>
  <c r="I15" i="5"/>
  <c r="J15" i="5" s="1"/>
  <c r="L15" i="5" s="1"/>
  <c r="K13" i="5" l="1"/>
  <c r="H13" i="5"/>
  <c r="D10" i="5"/>
  <c r="F10" i="5" s="1"/>
  <c r="I12" i="5"/>
  <c r="J12" i="5" s="1"/>
  <c r="L12" i="5" s="1"/>
  <c r="G10" i="5" l="1"/>
  <c r="H10" i="5"/>
  <c r="K10" i="5"/>
  <c r="D11" i="5"/>
  <c r="F11" i="5" s="1"/>
  <c r="I13" i="5"/>
  <c r="J13" i="5" s="1"/>
  <c r="L13" i="5" s="1"/>
  <c r="H11" i="5" l="1"/>
  <c r="G11" i="5"/>
  <c r="K11" i="5"/>
  <c r="D8" i="5"/>
  <c r="F8" i="5" s="1"/>
  <c r="I10" i="5"/>
  <c r="J10" i="5" s="1"/>
  <c r="L10" i="5" s="1"/>
  <c r="G8" i="5" l="1"/>
  <c r="H8" i="5"/>
  <c r="K8" i="5"/>
  <c r="D9" i="5"/>
  <c r="F9" i="5" s="1"/>
  <c r="I11" i="5"/>
  <c r="J11" i="5" s="1"/>
  <c r="L11" i="5" s="1"/>
  <c r="G9" i="5" l="1"/>
  <c r="H9" i="5"/>
  <c r="K9" i="5"/>
  <c r="I8" i="5"/>
  <c r="J8" i="5" s="1"/>
  <c r="L8" i="5" s="1"/>
  <c r="D7" i="5" l="1"/>
  <c r="F7" i="5" s="1"/>
  <c r="G7" i="5" s="1"/>
  <c r="I9" i="5"/>
  <c r="J9" i="5" s="1"/>
  <c r="L9" i="5" s="1"/>
  <c r="K7" i="5" l="1"/>
  <c r="H7" i="5"/>
  <c r="I7" i="5" s="1"/>
  <c r="J7" i="5" l="1"/>
  <c r="L7" i="5" s="1"/>
</calcChain>
</file>

<file path=xl/sharedStrings.xml><?xml version="1.0" encoding="utf-8"?>
<sst xmlns="http://schemas.openxmlformats.org/spreadsheetml/2006/main" count="244" uniqueCount="150">
  <si>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</si>
  <si>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</si>
  <si>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</si>
  <si>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</si>
  <si>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</si>
  <si>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</si>
  <si>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</si>
  <si>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</si>
  <si>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</si>
  <si>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</si>
  <si>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Durchmesser</t>
  </si>
  <si>
    <t>3. D (m)</t>
  </si>
  <si>
    <t>Umdrehungen/Sekunde</t>
  </si>
  <si>
    <t>RPS ( U / Sek)</t>
  </si>
  <si>
    <t>2. Geschwindigkeit der Spulen:</t>
  </si>
  <si>
    <t>Anzahl Spulen</t>
  </si>
  <si>
    <t>1. Spulen (n)</t>
  </si>
  <si>
    <t>Umfang in Loch-Mitte</t>
  </si>
  <si>
    <t>m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</si>
  <si>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</si>
  <si>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</si>
  <si>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</si>
  <si>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</si>
  <si>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</si>
  <si>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</si>
  <si>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</si>
  <si>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</si>
  <si>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</si>
  <si>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</si>
  <si>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</si>
  <si>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</si>
  <si>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</si>
  <si>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</si>
  <si>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</si>
  <si>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</si>
  <si>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</si>
  <si>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</si>
  <si>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</si>
  <si>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</si>
  <si>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</si>
  <si>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</si>
  <si>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</si>
  <si>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</si>
  <si>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</si>
  <si>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</si>
  <si>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</si>
  <si>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</si>
  <si>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</si>
  <si>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</si>
  <si>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N45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</si>
  <si>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</si>
  <si>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</si>
  <si>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</si>
  <si>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</si>
  <si>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</si>
  <si>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</si>
  <si>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</si>
  <si>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</si>
  <si>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</si>
  <si>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</si>
  <si>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</si>
  <si>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</si>
  <si>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</si>
  <si>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</si>
  <si>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</si>
  <si>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</si>
  <si>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</si>
  <si>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</si>
  <si>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</si>
  <si>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Drahtdurchmesser</t>
  </si>
  <si>
    <t>1. D (mm)</t>
  </si>
  <si>
    <t>Packdichte</t>
  </si>
  <si>
    <t>2. Dichte(Faktor)</t>
  </si>
  <si>
    <t>Drähte in Hand</t>
  </si>
  <si>
    <t>3. Anzahl (n)</t>
  </si>
  <si>
    <t>Schichtdicke Laminat über den Spulen</t>
  </si>
  <si>
    <t>4. Dicke (mm)</t>
  </si>
  <si>
    <t>(je Statorseite)</t>
  </si>
  <si>
    <t>Ohm</t>
  </si>
  <si>
    <t>Abstand zwischen Stator und Magneten</t>
  </si>
  <si>
    <t>5. Abstand (mm)</t>
  </si>
  <si>
    <t>U/min</t>
  </si>
  <si>
    <t>Dicke(Höhe)</t>
  </si>
  <si>
    <t>V</t>
  </si>
  <si>
    <t>wenn rot, dann zu dick !</t>
  </si>
  <si>
    <t>Strom</t>
  </si>
  <si>
    <t>A</t>
  </si>
  <si>
    <t>Leistung Rotor</t>
  </si>
  <si>
    <t>Dicke(Höhe) max.</t>
  </si>
  <si>
    <t>6. Drahtlänge:</t>
  </si>
  <si>
    <t>%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</si>
  <si>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</si>
  <si>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</si>
  <si>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</si>
  <si>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</si>
  <si>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</si>
  <si>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</si>
  <si>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</si>
  <si>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</si>
  <si>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8. Leistung / Wirkungsgrad:</t>
  </si>
  <si>
    <t>(gilt nur für den Fall von Batterieladung)</t>
  </si>
  <si>
    <t>Luftdichte</t>
  </si>
  <si>
    <t>Kg/m' 3</t>
  </si>
  <si>
    <t>Watt</t>
  </si>
  <si>
    <t>Rotorwirkungsgrad</t>
  </si>
  <si>
    <t>Ladestrom vor Gleichrichter</t>
  </si>
  <si>
    <t>Spannungsabfall Gleichrichter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</si>
  <si>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</si>
  <si>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</si>
  <si>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</si>
  <si>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</si>
  <si>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</si>
  <si>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</si>
  <si>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</si>
  <si>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Wirk-grad Gen +Gleichrichter</t>
  </si>
  <si>
    <t>Gesamtwirkungsgrad Anlage</t>
  </si>
  <si>
    <t>Wirbelstromverluste</t>
  </si>
  <si>
    <t>Leistung</t>
  </si>
  <si>
    <t>Leistung inkl. Wirbelströme</t>
  </si>
  <si>
    <t>Drehzahl bei Windgeschwindigkeit</t>
  </si>
  <si>
    <t>[m/s]</t>
  </si>
  <si>
    <t>[W]</t>
  </si>
  <si>
    <t>Wingeschw.</t>
  </si>
  <si>
    <t>Verlust Wirbels.</t>
  </si>
  <si>
    <t>[V]</t>
  </si>
  <si>
    <t>[A]</t>
  </si>
  <si>
    <t>Berechnungen bei Sternschaltung</t>
  </si>
  <si>
    <t>Batteriespannung</t>
  </si>
  <si>
    <t>Pv Geni</t>
  </si>
  <si>
    <t>Pmech</t>
  </si>
  <si>
    <t>Pv Gleichrichter</t>
  </si>
  <si>
    <t>Plade</t>
  </si>
  <si>
    <t>Pv Gesamt</t>
  </si>
  <si>
    <t>p% Geni</t>
  </si>
  <si>
    <t>[%]</t>
  </si>
  <si>
    <t>p% Gesamt</t>
  </si>
  <si>
    <t>Querschnitt</t>
  </si>
  <si>
    <t>zulässige Stromdichte [A/mm²]</t>
  </si>
  <si>
    <t>max. Strom</t>
  </si>
  <si>
    <t>AC</t>
  </si>
  <si>
    <t>DC</t>
  </si>
  <si>
    <t>parallel</t>
  </si>
  <si>
    <t>nicht mehr als Feld G 41!</t>
  </si>
  <si>
    <t>wirklich so hoch?</t>
  </si>
  <si>
    <t>Remanenz Magnet</t>
  </si>
  <si>
    <t xml:space="preserve">3. Tesla </t>
  </si>
  <si>
    <t>Scheibengenerator Berechnung HAWT (Normalwindräder)</t>
  </si>
  <si>
    <t>Möglichst keine Dreieckschaltung wegen parasitären Ringströmen!</t>
  </si>
  <si>
    <t xml:space="preserve">Link: </t>
  </si>
  <si>
    <t xml:space="preserve">https://www.kleinwindanlagen.de/Forum/cf3/topic.php?t=6201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</si>
</sst>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0"/>
      <color rgb="FFFF0000"/>
      <name val="Arial"/>
      <family val="2"/>
    </font>
    <font>
      <b/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rgb="FFFFFF00"/>
        <bgColor indexed="51"/>
      </patternFill>
    </fill>
  </fills>
  <borders count="4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2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ont="1" applyFill="1" applyBorder="1"/>
    <xf numFmtId="0" fontId="1" fillId="3" borderId="11" xfId="0" applyFont="1" applyFill="1" applyBorder="1"/>
    <xf numFmtId="0" fontId="0" fillId="4" borderId="0" xfId="0" applyFont="1" applyFill="1" applyAlignment="1">
      <alignment horizontal="right"/>
    </xf>
    <xf numFmtId="0" fontId="1" fillId="3" borderId="13" xfId="0" applyFont="1" applyFill="1" applyBorder="1"/>
    <xf numFmtId="0" fontId="0" fillId="4" borderId="14" xfId="0" applyFont="1" applyFill="1" applyBorder="1"/>
    <xf numFmtId="0" fontId="1" fillId="3" borderId="15" xfId="0" applyFont="1" applyFill="1" applyBorder="1"/>
    <xf numFmtId="2" fontId="0" fillId="5" borderId="12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2" borderId="7" xfId="0" applyFont="1" applyFill="1" applyBorder="1"/>
    <xf numFmtId="0" fontId="4" fillId="6" borderId="0" xfId="0" applyFont="1" applyFill="1"/>
    <xf numFmtId="0" fontId="4" fillId="6" borderId="9" xfId="0" applyFont="1" applyFill="1" applyBorder="1"/>
    <xf numFmtId="0" fontId="0" fillId="0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0" fillId="6" borderId="10" xfId="0" applyFont="1" applyFill="1" applyBorder="1"/>
    <xf numFmtId="0" fontId="0" fillId="6" borderId="19" xfId="0" applyFont="1" applyFill="1" applyBorder="1"/>
    <xf numFmtId="0" fontId="1" fillId="3" borderId="12" xfId="0" applyFont="1" applyFill="1" applyBorder="1"/>
    <xf numFmtId="0" fontId="0" fillId="6" borderId="0" xfId="0" applyFont="1" applyFill="1" applyAlignment="1">
      <alignment horizontal="right"/>
    </xf>
    <xf numFmtId="0" fontId="1" fillId="6" borderId="7" xfId="0" applyFont="1" applyFill="1" applyBorder="1"/>
    <xf numFmtId="0" fontId="0" fillId="6" borderId="0" xfId="0" applyFill="1" applyBorder="1"/>
    <xf numFmtId="2" fontId="0" fillId="5" borderId="15" xfId="0" applyNumberFormat="1" applyFill="1" applyBorder="1"/>
    <xf numFmtId="0" fontId="0" fillId="6" borderId="20" xfId="0" applyFont="1" applyFill="1" applyBorder="1"/>
    <xf numFmtId="2" fontId="0" fillId="6" borderId="0" xfId="0" applyNumberFormat="1" applyFill="1"/>
    <xf numFmtId="0" fontId="0" fillId="6" borderId="21" xfId="0" applyFont="1" applyFill="1" applyBorder="1"/>
    <xf numFmtId="2" fontId="0" fillId="5" borderId="11" xfId="0" applyNumberFormat="1" applyFill="1" applyBorder="1"/>
    <xf numFmtId="0" fontId="0" fillId="6" borderId="22" xfId="0" applyFont="1" applyFill="1" applyBorder="1"/>
    <xf numFmtId="0" fontId="0" fillId="0" borderId="0" xfId="0" applyBorder="1"/>
    <xf numFmtId="0" fontId="0" fillId="6" borderId="0" xfId="0" applyFont="1" applyFill="1" applyBorder="1" applyAlignment="1">
      <alignment horizontal="right"/>
    </xf>
    <xf numFmtId="0" fontId="0" fillId="6" borderId="17" xfId="0" applyFill="1" applyBorder="1"/>
    <xf numFmtId="0" fontId="0" fillId="6" borderId="17" xfId="0" applyFont="1" applyFill="1" applyBorder="1" applyAlignment="1">
      <alignment horizontal="right"/>
    </xf>
    <xf numFmtId="0" fontId="0" fillId="6" borderId="18" xfId="0" applyFill="1" applyBorder="1"/>
    <xf numFmtId="0" fontId="0" fillId="8" borderId="23" xfId="0" applyFont="1" applyFill="1" applyBorder="1"/>
    <xf numFmtId="0" fontId="0" fillId="8" borderId="24" xfId="0" applyFill="1" applyBorder="1"/>
    <xf numFmtId="0" fontId="0" fillId="4" borderId="0" xfId="0" applyFill="1" applyBorder="1"/>
    <xf numFmtId="0" fontId="0" fillId="8" borderId="25" xfId="0" applyFont="1" applyFill="1" applyBorder="1"/>
    <xf numFmtId="0" fontId="0" fillId="8" borderId="26" xfId="0" applyFill="1" applyBorder="1"/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4" borderId="27" xfId="0" applyFill="1" applyBorder="1"/>
    <xf numFmtId="0" fontId="0" fillId="8" borderId="28" xfId="0" applyFont="1" applyFill="1" applyBorder="1"/>
    <xf numFmtId="0" fontId="0" fillId="8" borderId="29" xfId="0" applyFill="1" applyBorder="1"/>
    <xf numFmtId="0" fontId="0" fillId="6" borderId="30" xfId="0" applyFill="1" applyBorder="1"/>
    <xf numFmtId="0" fontId="0" fillId="0" borderId="0" xfId="0" applyNumberFormat="1"/>
    <xf numFmtId="0" fontId="0" fillId="6" borderId="14" xfId="0" applyFont="1" applyFill="1" applyBorder="1"/>
    <xf numFmtId="1" fontId="0" fillId="6" borderId="0" xfId="0" applyNumberFormat="1" applyFill="1"/>
    <xf numFmtId="0" fontId="0" fillId="9" borderId="7" xfId="0" applyFont="1" applyFill="1" applyBorder="1"/>
    <xf numFmtId="0" fontId="0" fillId="0" borderId="0" xfId="0" applyNumberFormat="1" applyFont="1"/>
    <xf numFmtId="0" fontId="0" fillId="6" borderId="31" xfId="0" applyFill="1" applyBorder="1"/>
    <xf numFmtId="0" fontId="0" fillId="6" borderId="16" xfId="0" applyFill="1" applyBorder="1"/>
    <xf numFmtId="0" fontId="1" fillId="4" borderId="7" xfId="0" applyFont="1" applyFill="1" applyBorder="1"/>
    <xf numFmtId="2" fontId="1" fillId="7" borderId="12" xfId="0" applyNumberFormat="1" applyFont="1" applyFill="1" applyBorder="1"/>
    <xf numFmtId="0" fontId="5" fillId="4" borderId="9" xfId="0" applyFont="1" applyFill="1" applyBorder="1"/>
    <xf numFmtId="0" fontId="1" fillId="4" borderId="21" xfId="0" applyFont="1" applyFill="1" applyBorder="1"/>
    <xf numFmtId="2" fontId="0" fillId="5" borderId="13" xfId="0" applyNumberFormat="1" applyFill="1" applyBorder="1"/>
    <xf numFmtId="2" fontId="0" fillId="6" borderId="0" xfId="0" applyNumberFormat="1" applyFill="1" applyBorder="1"/>
    <xf numFmtId="0" fontId="0" fillId="4" borderId="32" xfId="0" applyFont="1" applyFill="1" applyBorder="1"/>
    <xf numFmtId="0" fontId="1" fillId="3" borderId="33" xfId="0" applyFont="1" applyFill="1" applyBorder="1"/>
    <xf numFmtId="0" fontId="0" fillId="4" borderId="21" xfId="0" applyFont="1" applyFill="1" applyBorder="1"/>
    <xf numFmtId="0" fontId="0" fillId="6" borderId="7" xfId="0" applyFont="1" applyFill="1" applyBorder="1"/>
    <xf numFmtId="2" fontId="1" fillId="3" borderId="11" xfId="0" applyNumberFormat="1" applyFont="1" applyFill="1" applyBorder="1" applyAlignment="1">
      <alignment horizontal="left"/>
    </xf>
    <xf numFmtId="0" fontId="0" fillId="6" borderId="0" xfId="0" applyFont="1" applyFill="1" applyBorder="1"/>
    <xf numFmtId="165" fontId="0" fillId="5" borderId="11" xfId="0" applyNumberFormat="1" applyFont="1" applyFill="1" applyBorder="1" applyAlignment="1">
      <alignment horizontal="right"/>
    </xf>
    <xf numFmtId="2" fontId="1" fillId="3" borderId="13" xfId="0" applyNumberFormat="1" applyFont="1" applyFill="1" applyBorder="1" applyAlignment="1">
      <alignment horizontal="left"/>
    </xf>
    <xf numFmtId="165" fontId="0" fillId="5" borderId="13" xfId="0" applyNumberFormat="1" applyFont="1" applyFill="1" applyBorder="1" applyAlignment="1">
      <alignment horizontal="right"/>
    </xf>
    <xf numFmtId="2" fontId="1" fillId="3" borderId="34" xfId="0" applyNumberFormat="1" applyFont="1" applyFill="1" applyBorder="1" applyAlignment="1">
      <alignment horizontal="left"/>
    </xf>
    <xf numFmtId="0" fontId="1" fillId="6" borderId="0" xfId="0" applyFont="1" applyFill="1" applyBorder="1"/>
    <xf numFmtId="165" fontId="1" fillId="5" borderId="13" xfId="0" applyNumberFormat="1" applyFont="1" applyFill="1" applyBorder="1" applyAlignment="1">
      <alignment horizontal="right"/>
    </xf>
    <xf numFmtId="2" fontId="1" fillId="3" borderId="15" xfId="0" applyNumberFormat="1" applyFont="1" applyFill="1" applyBorder="1" applyAlignment="1">
      <alignment horizontal="left"/>
    </xf>
    <xf numFmtId="165" fontId="6" fillId="5" borderId="13" xfId="0" applyNumberFormat="1" applyFont="1" applyFill="1" applyBorder="1" applyAlignment="1">
      <alignment horizontal="right"/>
    </xf>
    <xf numFmtId="0" fontId="0" fillId="0" borderId="35" xfId="0" applyBorder="1"/>
    <xf numFmtId="0" fontId="0" fillId="0" borderId="36" xfId="0" applyBorder="1"/>
    <xf numFmtId="2" fontId="0" fillId="6" borderId="9" xfId="0" applyNumberFormat="1" applyFill="1" applyBorder="1"/>
    <xf numFmtId="0" fontId="0" fillId="0" borderId="37" xfId="0" applyBorder="1"/>
    <xf numFmtId="165" fontId="0" fillId="5" borderId="15" xfId="0" applyNumberFormat="1" applyFont="1" applyFill="1" applyBorder="1" applyAlignment="1">
      <alignment horizontal="right"/>
    </xf>
    <xf numFmtId="2" fontId="0" fillId="6" borderId="0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0" fillId="6" borderId="17" xfId="0" applyFont="1" applyFill="1" applyBorder="1"/>
    <xf numFmtId="165" fontId="0" fillId="6" borderId="17" xfId="0" applyNumberFormat="1" applyFont="1" applyFill="1" applyBorder="1" applyAlignment="1">
      <alignment horizontal="right"/>
    </xf>
    <xf numFmtId="0" fontId="7" fillId="6" borderId="7" xfId="0" applyFont="1" applyFill="1" applyBorder="1"/>
    <xf numFmtId="164" fontId="0" fillId="5" borderId="11" xfId="0" applyNumberFormat="1" applyFill="1" applyBorder="1"/>
    <xf numFmtId="165" fontId="1" fillId="5" borderId="15" xfId="0" applyNumberFormat="1" applyFont="1" applyFill="1" applyBorder="1" applyAlignment="1">
      <alignment horizontal="right"/>
    </xf>
    <xf numFmtId="0" fontId="0" fillId="6" borderId="14" xfId="0" applyNumberFormat="1" applyFont="1" applyFill="1" applyBorder="1"/>
    <xf numFmtId="0" fontId="3" fillId="2" borderId="38" xfId="0" applyFont="1" applyFill="1" applyBorder="1"/>
    <xf numFmtId="0" fontId="1" fillId="4" borderId="39" xfId="0" applyFont="1" applyFill="1" applyBorder="1"/>
    <xf numFmtId="0" fontId="0" fillId="6" borderId="40" xfId="0" applyFill="1" applyBorder="1"/>
    <xf numFmtId="0" fontId="0" fillId="6" borderId="0" xfId="0" applyNumberFormat="1" applyFont="1" applyFill="1" applyBorder="1"/>
    <xf numFmtId="165" fontId="0" fillId="0" borderId="0" xfId="0" applyNumberFormat="1" applyAlignment="1">
      <alignment horizontal="center"/>
    </xf>
    <xf numFmtId="0" fontId="9" fillId="0" borderId="0" xfId="0" applyFont="1"/>
    <xf numFmtId="2" fontId="0" fillId="0" borderId="0" xfId="0" applyNumberFormat="1"/>
    <xf numFmtId="0" fontId="8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0" fontId="0" fillId="0" borderId="41" xfId="0" applyBorder="1"/>
    <xf numFmtId="2" fontId="0" fillId="0" borderId="4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4" borderId="0" xfId="0" applyFill="1" applyAlignment="1">
      <alignment horizontal="right" indent="1"/>
    </xf>
    <xf numFmtId="0" fontId="0" fillId="0" borderId="0" xfId="0" applyAlignment="1">
      <alignment wrapText="1"/>
    </xf>
    <xf numFmtId="165" fontId="1" fillId="0" borderId="0" xfId="0" applyNumberFormat="1" applyFont="1"/>
    <xf numFmtId="4" fontId="0" fillId="5" borderId="15" xfId="0" applyNumberFormat="1" applyFill="1" applyBorder="1"/>
    <xf numFmtId="2" fontId="0" fillId="8" borderId="26" xfId="0" applyNumberFormat="1" applyFill="1" applyBorder="1"/>
    <xf numFmtId="0" fontId="10" fillId="0" borderId="0" xfId="0" applyFont="1"/>
    <xf numFmtId="165" fontId="0" fillId="5" borderId="12" xfId="0" applyNumberFormat="1" applyFill="1" applyBorder="1"/>
    <xf numFmtId="2" fontId="1" fillId="5" borderId="12" xfId="0" applyNumberFormat="1" applyFont="1" applyFill="1" applyBorder="1"/>
    <xf numFmtId="2" fontId="1" fillId="5" borderId="11" xfId="0" applyNumberFormat="1" applyFont="1" applyFill="1" applyBorder="1"/>
    <xf numFmtId="2" fontId="1" fillId="5" borderId="13" xfId="0" applyNumberFormat="1" applyFont="1" applyFill="1" applyBorder="1"/>
    <xf numFmtId="4" fontId="1" fillId="5" borderId="15" xfId="0" applyNumberFormat="1" applyFont="1" applyFill="1" applyBorder="1"/>
    <xf numFmtId="1" fontId="1" fillId="5" borderId="12" xfId="0" applyNumberFormat="1" applyFont="1" applyFill="1" applyBorder="1"/>
    <xf numFmtId="2" fontId="0" fillId="7" borderId="12" xfId="0" applyNumberFormat="1" applyFont="1" applyFill="1" applyBorder="1"/>
    <xf numFmtId="165" fontId="0" fillId="5" borderId="12" xfId="0" applyNumberFormat="1" applyFont="1" applyFill="1" applyBorder="1"/>
    <xf numFmtId="165" fontId="0" fillId="0" borderId="0" xfId="0" applyNumberFormat="1"/>
    <xf numFmtId="1" fontId="0" fillId="0" borderId="0" xfId="0" applyNumberFormat="1"/>
    <xf numFmtId="0" fontId="0" fillId="4" borderId="18" xfId="0" applyFill="1" applyBorder="1" applyAlignment="1">
      <alignment horizontal="right"/>
    </xf>
    <xf numFmtId="0" fontId="0" fillId="0" borderId="44" xfId="0" applyBorder="1"/>
    <xf numFmtId="0" fontId="0" fillId="0" borderId="0" xfId="0" applyAlignment="1">
      <alignment horizontal="right"/>
    </xf>
    <xf numFmtId="0" fontId="11" fillId="0" borderId="0" xfId="1"/>
    <xf numFmtId="164" fontId="1" fillId="3" borderId="13" xfId="0" applyNumberFormat="1" applyFont="1" applyFill="1" applyBorder="1"/>
    <xf numFmtId="165" fontId="1" fillId="3" borderId="13" xfId="0" applyNumberFormat="1" applyFont="1" applyFill="1" applyBorder="1"/>
    <xf numFmtId="0" fontId="1" fillId="11" borderId="13" xfId="0" applyFont="1" applyFill="1" applyBorder="1"/>
    <xf numFmtId="2" fontId="12" fillId="10" borderId="12" xfId="0" applyNumberFormat="1" applyFont="1" applyFill="1" applyBorder="1"/>
    <xf numFmtId="165" fontId="12" fillId="5" borderId="13" xfId="0" applyNumberFormat="1" applyFont="1" applyFill="1" applyBorder="1" applyAlignment="1">
      <alignment horizontal="right"/>
    </xf>
    <xf numFmtId="2" fontId="0" fillId="10" borderId="46" xfId="0" applyNumberFormat="1" applyFill="1" applyBorder="1"/>
    <xf numFmtId="2" fontId="0" fillId="10" borderId="47" xfId="0" applyNumberFormat="1" applyFill="1" applyBorder="1"/>
    <xf numFmtId="165" fontId="1" fillId="3" borderId="45" xfId="0" applyNumberFormat="1" applyFont="1" applyFill="1" applyBorder="1"/>
    <xf numFmtId="165" fontId="1" fillId="3" borderId="11" xfId="0" applyNumberFormat="1" applyFont="1" applyFill="1" applyBorder="1"/>
    <xf numFmtId="0" fontId="1" fillId="9" borderId="8" xfId="0" applyFont="1" applyFill="1" applyBorder="1"/>
    <xf numFmtId="0" fontId="13" fillId="9" borderId="8" xfId="0" applyFont="1" applyFill="1" applyBorder="1"/>
    <xf numFmtId="0" fontId="1" fillId="9" borderId="7" xfId="0" applyFont="1" applyFill="1" applyBorder="1"/>
    <xf numFmtId="0" fontId="13" fillId="9" borderId="7" xfId="0" applyFont="1" applyFill="1" applyBorder="1"/>
    <xf numFmtId="0" fontId="0" fillId="7" borderId="0" xfId="0" applyFont="1" applyFill="1" applyBorder="1" applyAlignment="1">
      <alignment horizontal="center"/>
    </xf>
    <xf numFmtId="1" fontId="1" fillId="5" borderId="45" xfId="0" applyNumberFormat="1" applyFont="1" applyFill="1" applyBorder="1" applyAlignment="1">
      <alignment horizontal="left"/>
    </xf>
    <xf numFmtId="1" fontId="13" fillId="9" borderId="7" xfId="0" applyNumberFormat="1" applyFont="1" applyFill="1" applyBorder="1"/>
    <xf numFmtId="164" fontId="0" fillId="5" borderId="12" xfId="0" applyNumberFormat="1" applyFill="1" applyBorder="1"/>
    <xf numFmtId="0" fontId="14" fillId="0" borderId="0" xfId="0" applyFont="1" applyFill="1" applyBorder="1"/>
    <xf numFmtId="0" fontId="15" fillId="0" borderId="0" xfId="1" applyFont="1"/>
  </cellXfs>
  <cellStyles count="2">
    <cellStyle name="Hyperlink" xfId="1" builtinId="8"/>
    <cellStyle name="Standard" xfId="0" builtinId="0"/>
  </cellStyles>
  <dxfs count="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AECF00"/>
      <rgbColor rgb="00FF9900"/>
      <rgbColor rgb="00FF95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5594720677352"/>
          <c:y val="7.052498515055057E-2"/>
          <c:w val="0.81572224909270208"/>
          <c:h val="0.79174948719645344"/>
        </c:manualLayout>
      </c:layout>
      <c:scatterChart>
        <c:scatterStyle val="smoothMarker"/>
        <c:varyColors val="0"/>
        <c:ser>
          <c:idx val="0"/>
          <c:order val="0"/>
          <c:tx>
            <c:v>Leistung Rotor</c:v>
          </c:tx>
          <c:marker>
            <c:symbol val="none"/>
          </c:marker>
          <c:xVal>
            <c:numRef>
              <c:f>Stern!$A$7:$A$29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Stern!$B$7:$B$29</c:f>
              <c:numCache>
                <c:formatCode>0.0</c:formatCode>
                <c:ptCount val="23"/>
                <c:pt idx="0">
                  <c:v>1.2519875043086044</c:v>
                </c:pt>
                <c:pt idx="1">
                  <c:v>4.2254578270415397</c:v>
                </c:pt>
                <c:pt idx="2">
                  <c:v>10.015900034468835</c:v>
                </c:pt>
                <c:pt idx="3">
                  <c:v>19.562304754821941</c:v>
                </c:pt>
                <c:pt idx="4">
                  <c:v>33.803662616332318</c:v>
                </c:pt>
                <c:pt idx="5">
                  <c:v>53.678964247231406</c:v>
                </c:pt>
                <c:pt idx="6">
                  <c:v>80.127200275750681</c:v>
                </c:pt>
                <c:pt idx="7">
                  <c:v>114.08736133012157</c:v>
                </c:pt>
                <c:pt idx="8">
                  <c:v>156.49843803857553</c:v>
                </c:pt>
                <c:pt idx="9">
                  <c:v>208.29942102934402</c:v>
                </c:pt>
                <c:pt idx="10">
                  <c:v>270.42930093065854</c:v>
                </c:pt>
                <c:pt idx="11">
                  <c:v>343.82706837075051</c:v>
                </c:pt>
                <c:pt idx="12">
                  <c:v>429.43171397785125</c:v>
                </c:pt>
                <c:pt idx="13">
                  <c:v>528.18222838019244</c:v>
                </c:pt>
                <c:pt idx="14">
                  <c:v>641.01760220600545</c:v>
                </c:pt>
                <c:pt idx="15">
                  <c:v>768.87682608352156</c:v>
                </c:pt>
                <c:pt idx="16">
                  <c:v>912.69889064097254</c:v>
                </c:pt>
                <c:pt idx="17">
                  <c:v>1073.4227865065895</c:v>
                </c:pt>
                <c:pt idx="18">
                  <c:v>1251.9875043086042</c:v>
                </c:pt>
                <c:pt idx="19">
                  <c:v>1449.3320346752482</c:v>
                </c:pt>
                <c:pt idx="20">
                  <c:v>1666.3953682347521</c:v>
                </c:pt>
                <c:pt idx="21">
                  <c:v>1904.1164956153486</c:v>
                </c:pt>
                <c:pt idx="22">
                  <c:v>2163.4344074452683</c:v>
                </c:pt>
              </c:numCache>
            </c:numRef>
          </c:yVal>
          <c:smooth val="1"/>
        </c:ser>
        <c:ser>
          <c:idx val="1"/>
          <c:order val="1"/>
          <c:tx>
            <c:v>Ladeleistung Sternschaltung</c:v>
          </c:tx>
          <c:marker>
            <c:symbol val="none"/>
          </c:marker>
          <c:xVal>
            <c:numRef>
              <c:f>Stern!$A$7:$A$29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Stern!$J$7:$J$29</c:f>
              <c:numCache>
                <c:formatCode>0.0</c:formatCode>
                <c:ptCount val="23"/>
                <c:pt idx="0">
                  <c:v>0</c:v>
                </c:pt>
                <c:pt idx="1">
                  <c:v>0.26858490115824901</c:v>
                </c:pt>
                <c:pt idx="2">
                  <c:v>2.7916135159058073</c:v>
                </c:pt>
                <c:pt idx="3">
                  <c:v>7.9672179605514568</c:v>
                </c:pt>
                <c:pt idx="4">
                  <c:v>16.634687962350903</c:v>
                </c:pt>
                <c:pt idx="5">
                  <c:v>29.601481375044983</c:v>
                </c:pt>
                <c:pt idx="6">
                  <c:v>47.627620732984099</c:v>
                </c:pt>
                <c:pt idx="7">
                  <c:v>71.409065655754418</c:v>
                </c:pt>
                <c:pt idx="8">
                  <c:v>101.56168014059351</c:v>
                </c:pt>
                <c:pt idx="9">
                  <c:v>138.60751750553933</c:v>
                </c:pt>
                <c:pt idx="10">
                  <c:v>182.96497152469794</c:v>
                </c:pt>
                <c:pt idx="11">
                  <c:v>234.94388772651536</c:v>
                </c:pt>
                <c:pt idx="12">
                  <c:v>294.74607486691218</c:v>
                </c:pt>
                <c:pt idx="13">
                  <c:v>362.47094601336755</c:v>
                </c:pt>
                <c:pt idx="14">
                  <c:v>438.12540770514164</c:v>
                </c:pt>
                <c:pt idx="15">
                  <c:v>521.63672134116189</c:v>
                </c:pt>
                <c:pt idx="16">
                  <c:v>612.86692863940334</c:v>
                </c:pt>
                <c:pt idx="17">
                  <c:v>711.62753540003905</c:v>
                </c:pt>
                <c:pt idx="18">
                  <c:v>817.69340957409941</c:v>
                </c:pt>
                <c:pt idx="19">
                  <c:v>930.81518134630301</c:v>
                </c:pt>
                <c:pt idx="20">
                  <c:v>1050.7297585986826</c:v>
                </c:pt>
                <c:pt idx="21">
                  <c:v>1177.1688420038131</c:v>
                </c:pt>
                <c:pt idx="22">
                  <c:v>1309.8655194775638</c:v>
                </c:pt>
              </c:numCache>
            </c:numRef>
          </c:yVal>
          <c:smooth val="1"/>
        </c:ser>
        <c:ser>
          <c:idx val="2"/>
          <c:order val="2"/>
          <c:tx>
            <c:v>Ladeleistung Dreieckschaltung</c:v>
          </c:tx>
          <c:marker>
            <c:symbol val="none"/>
          </c:marker>
          <c:xVal>
            <c:numRef>
              <c:f>Dreieck!$A$7:$A$29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Dreieck!$J$7:$J$29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0.57974477245725309</c:v>
                </c:pt>
                <c:pt idx="4">
                  <c:v>6.0406762066813231</c:v>
                </c:pt>
                <c:pt idx="5">
                  <c:v>15.286935696180457</c:v>
                </c:pt>
                <c:pt idx="6">
                  <c:v>29.147347583101482</c:v>
                </c:pt>
                <c:pt idx="7">
                  <c:v>48.41946879513106</c:v>
                </c:pt>
                <c:pt idx="8">
                  <c:v>73.858219991175844</c:v>
                </c:pt>
                <c:pt idx="9">
                  <c:v>106.16410517912253</c:v>
                </c:pt>
                <c:pt idx="10">
                  <c:v>145.97183408650986</c:v>
                </c:pt>
                <c:pt idx="11">
                  <c:v>193.84020196736014</c:v>
                </c:pt>
                <c:pt idx="12">
                  <c:v>250.24402459856</c:v>
                </c:pt>
                <c:pt idx="13">
                  <c:v>315.56876800871783</c:v>
                </c:pt>
                <c:pt idx="14">
                  <c:v>390.10827010657675</c:v>
                </c:pt>
                <c:pt idx="15">
                  <c:v>474.06566059152766</c:v>
                </c:pt>
                <c:pt idx="16">
                  <c:v>567.55729250441959</c:v>
                </c:pt>
                <c:pt idx="17">
                  <c:v>670.61924866330878</c:v>
                </c:pt>
                <c:pt idx="18">
                  <c:v>783.21581247648521</c:v>
                </c:pt>
                <c:pt idx="19">
                  <c:v>905.24921054214133</c:v>
                </c:pt>
                <c:pt idx="20">
                  <c:v>1036.5699405330629</c:v>
                </c:pt>
                <c:pt idx="21">
                  <c:v>1176.9870741489694</c:v>
                </c:pt>
                <c:pt idx="22">
                  <c:v>1326.2780458959728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58688"/>
        <c:axId val="146259264"/>
      </c:scatterChart>
      <c:valAx>
        <c:axId val="14625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600"/>
                </a:pPr>
                <a:r>
                  <a:rPr lang="de-DE" sz="1600"/>
                  <a:t>Windgeschwindigkeit [m/s]</a:t>
                </a:r>
              </a:p>
            </c:rich>
          </c:tx>
          <c:layout>
            <c:manualLayout>
              <c:xMode val="edge"/>
              <c:yMode val="edge"/>
              <c:x val="0.40195605242177496"/>
              <c:y val="0.9296768938365463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46259264"/>
        <c:crosses val="autoZero"/>
        <c:crossBetween val="midCat"/>
        <c:majorUnit val="1"/>
      </c:valAx>
      <c:valAx>
        <c:axId val="1462592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Leistung [W]</a:t>
                </a:r>
              </a:p>
            </c:rich>
          </c:tx>
          <c:layout>
            <c:manualLayout>
              <c:xMode val="edge"/>
              <c:yMode val="edge"/>
              <c:x val="1.0106880999288279E-2"/>
              <c:y val="0.3379505502988596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46258688"/>
        <c:crosses val="autoZero"/>
        <c:crossBetween val="midCat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646731605900903"/>
          <c:y val="7.7786673724607958E-2"/>
          <c:w val="0.28375134386827883"/>
          <c:h val="0.202609673790776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112395</xdr:colOff>
      <xdr:row>49</xdr:row>
      <xdr:rowOff>28575</xdr:rowOff>
    </xdr:from>
    <xdr:to>
      <xdr:col>16</xdr:col>
      <xdr:colOff>365761</xdr:colOff>
      <xdr:row>75</xdr:row>
      <xdr:rowOff>11430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2</xdr:row>
      <xdr:rowOff>7620</xdr:rowOff>
    </xdr:from>
    <xdr:to>
      <xdr:col>13</xdr:col>
      <xdr:colOff>1343025</xdr:colOff>
      <xdr:row>25</xdr:row>
      <xdr:rowOff>68580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8430" y="396240"/>
          <a:ext cx="4775835" cy="4053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  <xdr:twoCellAnchor editAs="oneCell">
    <xdr:from>
      <xdr:col>7</xdr:col>
      <xdr:colOff>68580</xdr:colOff>
      <xdr:row>26</xdr:row>
      <xdr:rowOff>30480</xdr:rowOff>
    </xdr:from>
    <xdr:to>
      <xdr:col>9</xdr:col>
      <xdr:colOff>760095</xdr:colOff>
      <xdr:row>39</xdr:row>
      <xdr:rowOff>99060</xdr:rowOff>
    </xdr:to>
    <xdr:pic>
      <xdr:nvPicPr>
        <xdr:cNvPr id="6" name="Grafik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3980" y="4587240"/>
          <a:ext cx="1941195" cy="229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leinwindanlagen.de/Forum/cf3/topic.php?t=62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topLeftCell="B47" workbookViewId="0">
      <selection activeCell="I63" sqref="I63"/>
    </sheetView>
  </sheetViews>
  <sheetFormatPr baseColWidth="10" defaultColWidth="9.109375" defaultRowHeight="13.2" x14ac:dyDescent="0.25"/>
  <cols>
    <col min="1" max="1" width="4.44140625" customWidth="1"/>
    <col min="2" max="2" width="36.5546875" customWidth="1"/>
    <col min="3" max="3" width="18" customWidth="1"/>
    <col min="5" max="5" width="28.5546875" customWidth="1"/>
    <col min="6" max="6" width="17.6640625" customWidth="1"/>
    <col min="7" max="7" width="15.6640625" customWidth="1"/>
    <col min="10" max="10" width="22.6640625" customWidth="1"/>
    <col min="11" max="11" width="11.109375" bestFit="1" customWidth="1"/>
    <col min="14" max="14" width="28.88671875" customWidth="1"/>
  </cols>
  <sheetData>
    <row r="1" spans="2:33" s="1" customFormat="1" ht="17.399999999999999" x14ac:dyDescent="0.3">
      <c r="B1" s="2" t="s">
        <v>146</v>
      </c>
    </row>
    <row r="2" spans="2:33" x14ac:dyDescent="0.25">
      <c r="G2" s="3"/>
    </row>
    <row r="3" spans="2:33" x14ac:dyDescent="0.25">
      <c r="B3" s="4" t="s">
        <v>0</v>
      </c>
      <c r="C3" s="5" t="s">
        <v>1</v>
      </c>
      <c r="D3" s="6"/>
      <c r="E3" s="7"/>
      <c r="F3" s="8" t="s">
        <v>2</v>
      </c>
      <c r="G3" s="9" t="s">
        <v>3</v>
      </c>
      <c r="W3" s="135"/>
    </row>
    <row r="4" spans="2:33" ht="13.8" thickBot="1" x14ac:dyDescent="0.3">
      <c r="B4" s="10"/>
      <c r="C4" s="11"/>
      <c r="D4" s="12"/>
      <c r="E4" s="12"/>
      <c r="F4" s="12"/>
      <c r="G4" s="13"/>
      <c r="W4" s="135"/>
    </row>
    <row r="5" spans="2:33" ht="13.8" thickBot="1" x14ac:dyDescent="0.3">
      <c r="B5" s="14" t="s">
        <v>4</v>
      </c>
      <c r="C5" s="12" t="s">
        <v>5</v>
      </c>
      <c r="D5" s="144">
        <v>7.2047191522325944</v>
      </c>
      <c r="E5" s="16" t="s">
        <v>6</v>
      </c>
      <c r="F5" s="122">
        <f>D5*D6*60/(D7*PI())</f>
        <v>172.00000000000003</v>
      </c>
      <c r="G5" s="13" t="s">
        <v>7</v>
      </c>
    </row>
    <row r="6" spans="2:33" ht="13.8" thickBot="1" x14ac:dyDescent="0.3">
      <c r="B6" s="14" t="s">
        <v>8</v>
      </c>
      <c r="C6" s="12" t="s">
        <v>9</v>
      </c>
      <c r="D6" s="17">
        <v>3</v>
      </c>
      <c r="E6" s="12"/>
      <c r="F6" s="12"/>
      <c r="G6" s="13"/>
      <c r="U6" s="134"/>
      <c r="W6" s="135"/>
    </row>
    <row r="7" spans="2:33" ht="13.8" thickBot="1" x14ac:dyDescent="0.3">
      <c r="B7" s="14" t="s">
        <v>10</v>
      </c>
      <c r="C7" s="18" t="s">
        <v>11</v>
      </c>
      <c r="D7" s="19">
        <v>2.4</v>
      </c>
      <c r="E7" s="16" t="s">
        <v>12</v>
      </c>
      <c r="F7" s="20">
        <f>F5/60</f>
        <v>2.8666666666666671</v>
      </c>
      <c r="G7" s="13" t="s">
        <v>13</v>
      </c>
      <c r="U7" s="134"/>
      <c r="W7" s="135"/>
    </row>
    <row r="8" spans="2:33" ht="13.8" thickBot="1" x14ac:dyDescent="0.3">
      <c r="B8" s="21"/>
      <c r="C8" s="22"/>
      <c r="D8" s="22"/>
      <c r="E8" s="22"/>
      <c r="F8" s="22"/>
      <c r="G8" s="23"/>
    </row>
    <row r="9" spans="2:33" x14ac:dyDescent="0.25">
      <c r="B9" s="24" t="s">
        <v>14</v>
      </c>
      <c r="C9" s="25"/>
      <c r="D9" s="25"/>
      <c r="E9" s="25"/>
      <c r="F9" s="25"/>
      <c r="G9" s="26"/>
      <c r="J9" s="27"/>
    </row>
    <row r="10" spans="2:33" ht="13.8" thickBot="1" x14ac:dyDescent="0.3">
      <c r="B10" s="28"/>
      <c r="C10" s="29"/>
      <c r="D10" s="30"/>
      <c r="E10" s="30"/>
      <c r="F10" s="30"/>
      <c r="G10" s="31"/>
      <c r="J10" s="27"/>
      <c r="U10" s="134"/>
      <c r="W10" s="135"/>
    </row>
    <row r="11" spans="2:33" ht="13.8" thickBot="1" x14ac:dyDescent="0.3">
      <c r="B11" s="32" t="s">
        <v>15</v>
      </c>
      <c r="C11" s="33" t="s">
        <v>16</v>
      </c>
      <c r="D11" s="34">
        <v>12</v>
      </c>
      <c r="E11" s="35" t="s">
        <v>17</v>
      </c>
      <c r="F11" s="97">
        <f>(D14+(D16*2)+D17+D15+(D16*2))*D11/2/1000</f>
        <v>0.73259999999999992</v>
      </c>
      <c r="G11" s="31" t="s">
        <v>18</v>
      </c>
      <c r="J11" s="27"/>
      <c r="U11" s="134"/>
      <c r="W11" s="135"/>
    </row>
    <row r="12" spans="2:33" ht="13.8" thickBot="1" x14ac:dyDescent="0.3">
      <c r="B12" s="36" t="s">
        <v>19</v>
      </c>
      <c r="C12" s="37"/>
      <c r="D12" s="30"/>
      <c r="E12" s="35" t="s">
        <v>20</v>
      </c>
      <c r="F12" s="38">
        <f>F11/(2*PI())*1000</f>
        <v>116.59691130912252</v>
      </c>
      <c r="G12" s="31" t="s">
        <v>21</v>
      </c>
      <c r="J12" s="27"/>
      <c r="U12" s="134"/>
      <c r="W12" s="135"/>
      <c r="AG12" s="135"/>
    </row>
    <row r="13" spans="2:33" ht="13.8" thickBot="1" x14ac:dyDescent="0.3">
      <c r="B13" s="28" t="s">
        <v>22</v>
      </c>
      <c r="C13" s="39" t="s">
        <v>23</v>
      </c>
      <c r="D13" s="15">
        <v>51</v>
      </c>
      <c r="E13" s="30"/>
      <c r="F13" s="30"/>
      <c r="G13" s="31"/>
      <c r="J13" s="27"/>
      <c r="U13" s="134"/>
    </row>
    <row r="14" spans="2:33" ht="13.8" thickBot="1" x14ac:dyDescent="0.3">
      <c r="B14" s="28" t="s">
        <v>24</v>
      </c>
      <c r="C14" s="28" t="s">
        <v>25</v>
      </c>
      <c r="D14" s="137">
        <v>32.1</v>
      </c>
      <c r="E14" s="35" t="s">
        <v>26</v>
      </c>
      <c r="F14" s="20">
        <f>(F5/60)*F11</f>
        <v>2.10012</v>
      </c>
      <c r="G14" s="31" t="s">
        <v>27</v>
      </c>
      <c r="J14" s="27"/>
      <c r="U14" s="134"/>
    </row>
    <row r="15" spans="2:33" x14ac:dyDescent="0.25">
      <c r="B15" s="28" t="s">
        <v>28</v>
      </c>
      <c r="C15" s="28" t="s">
        <v>29</v>
      </c>
      <c r="D15" s="17">
        <v>6</v>
      </c>
      <c r="E15" s="30"/>
      <c r="F15" s="30"/>
      <c r="G15" s="31"/>
      <c r="U15" s="134"/>
      <c r="W15" s="135"/>
    </row>
    <row r="16" spans="2:33" x14ac:dyDescent="0.25">
      <c r="B16" s="28" t="s">
        <v>30</v>
      </c>
      <c r="C16" s="28" t="s">
        <v>31</v>
      </c>
      <c r="D16" s="17">
        <v>20</v>
      </c>
      <c r="E16" s="30"/>
      <c r="F16" s="30"/>
      <c r="G16" s="31"/>
      <c r="K16" s="3"/>
      <c r="W16" s="135"/>
    </row>
    <row r="17" spans="1:23" ht="13.8" thickBot="1" x14ac:dyDescent="0.3">
      <c r="B17" s="28" t="s">
        <v>32</v>
      </c>
      <c r="C17" s="28" t="s">
        <v>33</v>
      </c>
      <c r="D17" s="17">
        <v>4</v>
      </c>
      <c r="E17" s="30"/>
      <c r="F17" s="40"/>
      <c r="G17" s="31"/>
      <c r="K17" s="3"/>
      <c r="W17" s="135"/>
    </row>
    <row r="18" spans="1:23" ht="13.8" thickBot="1" x14ac:dyDescent="0.3">
      <c r="A18" s="133"/>
      <c r="B18" s="37" t="s">
        <v>34</v>
      </c>
      <c r="C18" s="41" t="s">
        <v>35</v>
      </c>
      <c r="D18" s="19">
        <v>5</v>
      </c>
      <c r="E18" s="35" t="s">
        <v>36</v>
      </c>
      <c r="F18" s="42">
        <f>(D11*(D15+(D16*2)+(D17*2))/PI())/10/1.25+(0.2*D18)+(2*D13/10)+(4*D16/10)</f>
        <v>35.701184499767706</v>
      </c>
      <c r="G18" s="43" t="s">
        <v>37</v>
      </c>
      <c r="H18" s="44"/>
      <c r="I18" s="44"/>
      <c r="K18" s="3"/>
    </row>
    <row r="19" spans="1:23" ht="13.8" thickBot="1" x14ac:dyDescent="0.3">
      <c r="A19" s="133"/>
      <c r="B19" s="37"/>
      <c r="C19" s="37"/>
      <c r="D19" s="37"/>
      <c r="E19" s="45" t="s">
        <v>38</v>
      </c>
      <c r="F19" s="38">
        <f>(D11*(D15+(D16*2)+(D17*2))/PI())/10/1.25-(2*D16/10)+(2*D13/10)+(4*D16/10)+2</f>
        <v>32.701184499767706</v>
      </c>
      <c r="G19" s="43" t="s">
        <v>37</v>
      </c>
      <c r="K19" s="3"/>
      <c r="U19" s="134"/>
    </row>
    <row r="20" spans="1:23" ht="13.8" thickBot="1" x14ac:dyDescent="0.3">
      <c r="A20" s="133"/>
      <c r="B20" s="46"/>
      <c r="C20" s="46"/>
      <c r="D20" s="46"/>
      <c r="E20" s="47" t="s">
        <v>39</v>
      </c>
      <c r="F20" s="46"/>
      <c r="G20" s="48"/>
    </row>
    <row r="21" spans="1:23" x14ac:dyDescent="0.25">
      <c r="B21" s="24" t="s">
        <v>40</v>
      </c>
      <c r="C21" s="12"/>
      <c r="D21" s="12"/>
      <c r="E21" s="12"/>
      <c r="F21" s="12"/>
      <c r="G21" s="13"/>
      <c r="H21" s="49" t="s">
        <v>41</v>
      </c>
      <c r="I21" s="50">
        <v>1.43</v>
      </c>
      <c r="K21" s="3"/>
    </row>
    <row r="22" spans="1:23" ht="13.8" thickBot="1" x14ac:dyDescent="0.3">
      <c r="B22" s="10"/>
      <c r="C22" s="11"/>
      <c r="D22" s="51"/>
      <c r="E22" s="12"/>
      <c r="F22" s="12"/>
      <c r="G22" s="13"/>
      <c r="H22" s="52" t="s">
        <v>42</v>
      </c>
      <c r="I22" s="120">
        <v>1.4</v>
      </c>
      <c r="K22" s="3"/>
    </row>
    <row r="23" spans="1:23" ht="13.8" thickBot="1" x14ac:dyDescent="0.3">
      <c r="B23" s="14" t="s">
        <v>43</v>
      </c>
      <c r="C23" s="11" t="s">
        <v>44</v>
      </c>
      <c r="D23" s="34">
        <v>10</v>
      </c>
      <c r="F23" s="51"/>
      <c r="G23" s="13"/>
      <c r="H23" s="52" t="s">
        <v>45</v>
      </c>
      <c r="I23" s="53">
        <v>1.38</v>
      </c>
      <c r="K23" s="3"/>
    </row>
    <row r="24" spans="1:23" ht="13.8" thickBot="1" x14ac:dyDescent="0.3">
      <c r="B24" s="14" t="s">
        <v>46</v>
      </c>
      <c r="C24" s="54" t="s">
        <v>47</v>
      </c>
      <c r="D24" s="34">
        <v>20</v>
      </c>
      <c r="E24" s="55" t="s">
        <v>48</v>
      </c>
      <c r="F24" s="51"/>
      <c r="G24" s="13"/>
      <c r="H24" s="52" t="s">
        <v>49</v>
      </c>
      <c r="I24" s="53">
        <v>1.3049999999999999</v>
      </c>
      <c r="K24" s="3"/>
    </row>
    <row r="25" spans="1:23" ht="13.8" thickBot="1" x14ac:dyDescent="0.3">
      <c r="B25" s="14" t="s">
        <v>144</v>
      </c>
      <c r="C25" s="10" t="s">
        <v>145</v>
      </c>
      <c r="D25" s="136">
        <v>1.3049999999999999</v>
      </c>
      <c r="E25" s="149" t="s">
        <v>50</v>
      </c>
      <c r="F25" s="152">
        <f>D25-((D25*(D24/(2*D23)))*0.5)</f>
        <v>0.65249999999999997</v>
      </c>
      <c r="G25" s="13" t="s">
        <v>51</v>
      </c>
      <c r="H25" s="52" t="s">
        <v>52</v>
      </c>
      <c r="I25" s="53">
        <v>1.28</v>
      </c>
      <c r="K25" s="3"/>
    </row>
    <row r="26" spans="1:23" ht="13.8" thickBot="1" x14ac:dyDescent="0.3">
      <c r="B26" s="21"/>
      <c r="C26" s="56"/>
      <c r="D26" s="56"/>
      <c r="E26" s="22"/>
      <c r="F26" s="22"/>
      <c r="G26" s="23"/>
      <c r="H26" s="57" t="s">
        <v>53</v>
      </c>
      <c r="I26" s="58">
        <v>1.25</v>
      </c>
      <c r="K26" s="3"/>
    </row>
    <row r="27" spans="1:23" x14ac:dyDescent="0.25">
      <c r="B27" s="24" t="s">
        <v>54</v>
      </c>
      <c r="C27" s="30"/>
      <c r="D27" s="30"/>
      <c r="E27" s="30"/>
      <c r="F27" s="30"/>
      <c r="G27" s="59"/>
      <c r="K27" s="3"/>
    </row>
    <row r="28" spans="1:23" ht="13.8" thickBot="1" x14ac:dyDescent="0.3">
      <c r="B28" s="28"/>
      <c r="C28" s="29"/>
      <c r="D28" s="30"/>
      <c r="E28" s="30"/>
      <c r="F28" s="30"/>
      <c r="G28" s="31"/>
    </row>
    <row r="29" spans="1:23" x14ac:dyDescent="0.25">
      <c r="B29" s="32" t="s">
        <v>55</v>
      </c>
      <c r="C29" s="30" t="s">
        <v>56</v>
      </c>
      <c r="D29" s="15">
        <v>24</v>
      </c>
      <c r="E29" s="30"/>
      <c r="F29" s="30"/>
      <c r="G29" s="31"/>
    </row>
    <row r="30" spans="1:23" x14ac:dyDescent="0.25">
      <c r="B30" s="32" t="s">
        <v>57</v>
      </c>
      <c r="C30" s="30" t="s">
        <v>25</v>
      </c>
      <c r="D30" s="17">
        <v>30</v>
      </c>
      <c r="E30" s="30"/>
      <c r="F30" s="30"/>
      <c r="G30" s="31"/>
    </row>
    <row r="31" spans="1:23" x14ac:dyDescent="0.25">
      <c r="B31" s="32" t="s">
        <v>58</v>
      </c>
      <c r="C31" s="30" t="s">
        <v>59</v>
      </c>
      <c r="D31" s="17">
        <v>46</v>
      </c>
      <c r="E31" s="30"/>
      <c r="F31" s="30"/>
      <c r="G31" s="31"/>
      <c r="K31" s="60"/>
    </row>
    <row r="32" spans="1:23" x14ac:dyDescent="0.25">
      <c r="B32" s="32" t="s">
        <v>60</v>
      </c>
      <c r="C32" s="30" t="s">
        <v>61</v>
      </c>
      <c r="D32" s="17">
        <v>16</v>
      </c>
      <c r="E32" s="30"/>
      <c r="F32" s="30"/>
      <c r="G32" s="31"/>
      <c r="K32" s="60"/>
    </row>
    <row r="33" spans="2:11" ht="13.8" thickBot="1" x14ac:dyDescent="0.3">
      <c r="B33" s="32" t="s">
        <v>62</v>
      </c>
      <c r="C33" s="61" t="s">
        <v>63</v>
      </c>
      <c r="D33" s="19">
        <v>3</v>
      </c>
      <c r="E33" s="30"/>
      <c r="F33" s="30"/>
      <c r="G33" s="31"/>
      <c r="K33" s="60"/>
    </row>
    <row r="34" spans="2:11" ht="13.8" thickBot="1" x14ac:dyDescent="0.3">
      <c r="B34" s="28"/>
      <c r="C34" s="30"/>
      <c r="D34" s="30"/>
      <c r="E34" s="29"/>
      <c r="F34" s="62"/>
      <c r="G34" s="31"/>
      <c r="K34" s="60"/>
    </row>
    <row r="35" spans="2:11" ht="13.8" thickBot="1" x14ac:dyDescent="0.3">
      <c r="B35" s="147" t="s">
        <v>64</v>
      </c>
      <c r="C35" s="30"/>
      <c r="D35" s="31"/>
      <c r="E35" s="30" t="s">
        <v>65</v>
      </c>
      <c r="F35" s="127">
        <f>((((D29+1.4)/(SQRT(D33)*SQRT(2)))/((2*D32*F25*F7*D30/1000*D31/1000)*(D11/D33))))</f>
        <v>31.384218797160639</v>
      </c>
      <c r="G35" s="31" t="s">
        <v>66</v>
      </c>
      <c r="J35" s="64"/>
    </row>
    <row r="36" spans="2:11" ht="13.8" thickBot="1" x14ac:dyDescent="0.3">
      <c r="B36" s="28"/>
      <c r="C36" s="30"/>
      <c r="D36" s="31"/>
      <c r="E36" s="30"/>
      <c r="F36" s="65"/>
      <c r="G36" s="31"/>
    </row>
    <row r="37" spans="2:11" x14ac:dyDescent="0.25">
      <c r="B37" s="148" t="s">
        <v>67</v>
      </c>
      <c r="C37" s="30"/>
      <c r="D37" s="31"/>
      <c r="E37" s="61" t="s">
        <v>65</v>
      </c>
      <c r="F37" s="151">
        <f>(((D29+1.4)/1.414)/(2*D32*F25*F7*D30/1000*D31/1000))/(D11/D33)</f>
        <v>54.367271590458287</v>
      </c>
      <c r="G37" s="31" t="s">
        <v>66</v>
      </c>
    </row>
    <row r="38" spans="2:11" ht="13.8" thickBot="1" x14ac:dyDescent="0.3">
      <c r="B38" s="66"/>
      <c r="C38" s="46"/>
      <c r="D38" s="46"/>
      <c r="E38" s="46"/>
      <c r="F38" s="46"/>
      <c r="G38" s="48"/>
    </row>
    <row r="39" spans="2:11" x14ac:dyDescent="0.25">
      <c r="B39" s="24" t="s">
        <v>68</v>
      </c>
      <c r="C39" s="12"/>
      <c r="D39" s="12"/>
      <c r="E39" s="12"/>
      <c r="F39" s="12"/>
      <c r="G39" s="13"/>
    </row>
    <row r="40" spans="2:11" ht="24" customHeight="1" thickBot="1" x14ac:dyDescent="0.3">
      <c r="B40" s="10"/>
      <c r="C40" s="11"/>
      <c r="D40" s="12"/>
      <c r="E40" s="116" t="s">
        <v>136</v>
      </c>
      <c r="F40" s="117" t="s">
        <v>137</v>
      </c>
      <c r="G40" s="132" t="s">
        <v>138</v>
      </c>
    </row>
    <row r="41" spans="2:11" ht="13.8" thickBot="1" x14ac:dyDescent="0.3">
      <c r="B41" s="14" t="s">
        <v>69</v>
      </c>
      <c r="C41" s="12" t="s">
        <v>70</v>
      </c>
      <c r="D41" s="15">
        <v>1.2</v>
      </c>
      <c r="E41" s="141">
        <f>D43*PI()/4*D41^2</f>
        <v>5.6548667764616276</v>
      </c>
      <c r="F41" s="143">
        <v>4</v>
      </c>
      <c r="G41" s="142">
        <f>E41*F41</f>
        <v>22.61946710584651</v>
      </c>
      <c r="H41" t="s">
        <v>139</v>
      </c>
    </row>
    <row r="42" spans="2:11" ht="13.8" thickBot="1" x14ac:dyDescent="0.3">
      <c r="B42" s="14" t="s">
        <v>71</v>
      </c>
      <c r="C42" s="12" t="s">
        <v>72</v>
      </c>
      <c r="D42" s="17">
        <v>1.8</v>
      </c>
      <c r="E42" s="12"/>
      <c r="F42" s="12"/>
      <c r="G42" s="139">
        <f>G41*1.28</f>
        <v>28.952917895483534</v>
      </c>
      <c r="H42" t="s">
        <v>140</v>
      </c>
    </row>
    <row r="43" spans="2:11" x14ac:dyDescent="0.25">
      <c r="B43" s="14" t="s">
        <v>73</v>
      </c>
      <c r="C43" s="10" t="s">
        <v>74</v>
      </c>
      <c r="D43" s="138">
        <v>5</v>
      </c>
      <c r="E43" s="12" t="s">
        <v>141</v>
      </c>
      <c r="F43" s="12"/>
      <c r="G43" s="13"/>
    </row>
    <row r="44" spans="2:11" x14ac:dyDescent="0.25">
      <c r="B44" s="14" t="s">
        <v>75</v>
      </c>
      <c r="C44" s="51" t="s">
        <v>76</v>
      </c>
      <c r="D44" s="17">
        <v>0.5</v>
      </c>
      <c r="E44" s="12" t="s">
        <v>77</v>
      </c>
      <c r="F44" s="12"/>
      <c r="G44" s="13"/>
    </row>
    <row r="45" spans="2:11" ht="13.8" thickBot="1" x14ac:dyDescent="0.3">
      <c r="B45" s="14" t="s">
        <v>79</v>
      </c>
      <c r="C45" s="18" t="s">
        <v>80</v>
      </c>
      <c r="D45" s="19">
        <v>1.5</v>
      </c>
      <c r="E45" s="12" t="s">
        <v>77</v>
      </c>
      <c r="F45" s="12"/>
      <c r="G45" s="13"/>
    </row>
    <row r="46" spans="2:11" ht="13.8" thickBot="1" x14ac:dyDescent="0.3">
      <c r="B46" s="10"/>
      <c r="C46" s="51"/>
      <c r="D46" s="51"/>
      <c r="E46" s="11"/>
      <c r="F46" s="51"/>
      <c r="G46" s="13"/>
    </row>
    <row r="47" spans="2:11" ht="13.8" thickBot="1" x14ac:dyDescent="0.3">
      <c r="B47" s="63" t="s">
        <v>64</v>
      </c>
      <c r="C47" s="12"/>
      <c r="D47" s="12"/>
      <c r="E47" s="67" t="s">
        <v>82</v>
      </c>
      <c r="F47" s="68">
        <f>(PI()*((D41/2)*(D41/2))*F35*D43*D42)/D16</f>
        <v>15.972621856313959</v>
      </c>
      <c r="G47" s="13" t="s">
        <v>21</v>
      </c>
      <c r="H47" s="1" t="s">
        <v>147</v>
      </c>
    </row>
    <row r="48" spans="2:11" ht="13.8" thickBot="1" x14ac:dyDescent="0.3">
      <c r="B48" s="10"/>
      <c r="C48" s="12"/>
      <c r="D48" s="12"/>
      <c r="E48" s="67"/>
      <c r="F48" s="69" t="s">
        <v>84</v>
      </c>
      <c r="G48" s="13"/>
      <c r="H48" s="1" t="s">
        <v>148</v>
      </c>
      <c r="I48" s="154" t="s">
        <v>149</v>
      </c>
    </row>
    <row r="49" spans="2:8" ht="13.8" thickBot="1" x14ac:dyDescent="0.3">
      <c r="B49" s="148" t="s">
        <v>67</v>
      </c>
      <c r="C49" s="12"/>
      <c r="D49" s="12"/>
      <c r="E49" s="101" t="s">
        <v>82</v>
      </c>
      <c r="F49" s="128">
        <f>(PI()*((D41/2)*(D41/2))*F37*D43*D42)/D16</f>
        <v>27.669571005937382</v>
      </c>
      <c r="G49" s="13" t="s">
        <v>21</v>
      </c>
      <c r="H49" s="118"/>
    </row>
    <row r="50" spans="2:8" ht="13.8" thickBot="1" x14ac:dyDescent="0.3">
      <c r="B50" s="10"/>
      <c r="C50" s="12"/>
      <c r="D50" s="12"/>
      <c r="E50" s="70" t="s">
        <v>88</v>
      </c>
      <c r="F50" s="129">
        <f>D24-D44-D44-D45-D45</f>
        <v>16</v>
      </c>
      <c r="G50" s="13" t="s">
        <v>21</v>
      </c>
    </row>
    <row r="51" spans="2:8" x14ac:dyDescent="0.25">
      <c r="B51" s="10"/>
      <c r="C51" s="12"/>
      <c r="D51" s="12"/>
      <c r="E51" s="12"/>
      <c r="F51" s="12"/>
      <c r="G51" s="13"/>
    </row>
    <row r="52" spans="2:8" ht="13.8" thickBot="1" x14ac:dyDescent="0.3">
      <c r="B52" s="10"/>
      <c r="C52" s="12"/>
      <c r="D52" s="12"/>
      <c r="E52" s="12"/>
      <c r="F52" s="12"/>
      <c r="G52" s="13"/>
    </row>
    <row r="53" spans="2:8" x14ac:dyDescent="0.25">
      <c r="B53" s="100" t="s">
        <v>89</v>
      </c>
      <c r="C53" s="102"/>
      <c r="D53" s="102"/>
      <c r="E53" s="102"/>
      <c r="F53" s="102"/>
      <c r="G53" s="59"/>
    </row>
    <row r="54" spans="2:8" ht="13.8" thickBot="1" x14ac:dyDescent="0.3">
      <c r="B54" s="28"/>
      <c r="C54" s="30"/>
      <c r="D54" s="30"/>
      <c r="E54" s="37"/>
      <c r="F54" s="30"/>
      <c r="G54" s="31"/>
    </row>
    <row r="55" spans="2:8" x14ac:dyDescent="0.25">
      <c r="B55" s="147" t="s">
        <v>64</v>
      </c>
      <c r="C55" s="30"/>
      <c r="D55" s="37"/>
      <c r="E55" s="39" t="s">
        <v>91</v>
      </c>
      <c r="F55" s="124">
        <f>D43*F35*(D13*2+D14+D15+D16*2)/1000</f>
        <v>28.261489026843154</v>
      </c>
      <c r="G55" s="31" t="s">
        <v>18</v>
      </c>
    </row>
    <row r="56" spans="2:8" x14ac:dyDescent="0.25">
      <c r="B56" s="28"/>
      <c r="C56" s="30"/>
      <c r="D56" s="37"/>
      <c r="E56" s="28" t="s">
        <v>92</v>
      </c>
      <c r="F56" s="125">
        <f>F55*D11</f>
        <v>339.13786832211787</v>
      </c>
      <c r="G56" s="31" t="s">
        <v>18</v>
      </c>
    </row>
    <row r="57" spans="2:8" ht="13.8" thickBot="1" x14ac:dyDescent="0.3">
      <c r="B57" s="28"/>
      <c r="C57" s="30"/>
      <c r="D57" s="37"/>
      <c r="E57" s="41" t="s">
        <v>93</v>
      </c>
      <c r="F57" s="126">
        <f>100*PI()*(D41/2)^2*(F55/100)*8.96*D11</f>
        <v>3436.660799872855</v>
      </c>
      <c r="G57" s="31" t="s">
        <v>94</v>
      </c>
    </row>
    <row r="58" spans="2:8" ht="13.8" thickBot="1" x14ac:dyDescent="0.3">
      <c r="B58" s="28"/>
      <c r="C58" s="30"/>
      <c r="D58" s="37"/>
      <c r="E58" s="37"/>
      <c r="F58" s="72"/>
      <c r="G58" s="31"/>
    </row>
    <row r="59" spans="2:8" x14ac:dyDescent="0.25">
      <c r="B59" s="148" t="s">
        <v>67</v>
      </c>
      <c r="C59" s="30"/>
      <c r="D59" s="37"/>
      <c r="E59" s="39" t="s">
        <v>91</v>
      </c>
      <c r="F59" s="42">
        <f>D43*F37*(D13*2+D14+D15+D16*2)/1000</f>
        <v>48.95772806720769</v>
      </c>
      <c r="G59" s="31" t="s">
        <v>18</v>
      </c>
    </row>
    <row r="60" spans="2:8" x14ac:dyDescent="0.25">
      <c r="B60" s="28"/>
      <c r="C60" s="30"/>
      <c r="D60" s="37"/>
      <c r="E60" s="28" t="s">
        <v>92</v>
      </c>
      <c r="F60" s="71">
        <f>F59*D11</f>
        <v>587.4927368064923</v>
      </c>
      <c r="G60" s="31" t="s">
        <v>18</v>
      </c>
    </row>
    <row r="61" spans="2:8" ht="13.8" thickBot="1" x14ac:dyDescent="0.3">
      <c r="B61" s="28"/>
      <c r="C61" s="30"/>
      <c r="D61" s="37"/>
      <c r="E61" s="41" t="s">
        <v>93</v>
      </c>
      <c r="F61" s="119">
        <f>100*PI()*(D41/2)^2*(F59/100)*8.96*D11</f>
        <v>5953.3701405329512</v>
      </c>
      <c r="G61" s="31" t="s">
        <v>94</v>
      </c>
    </row>
    <row r="62" spans="2:8" ht="13.8" thickBot="1" x14ac:dyDescent="0.3">
      <c r="B62" s="66"/>
      <c r="C62" s="46"/>
      <c r="D62" s="46"/>
      <c r="E62" s="46"/>
      <c r="F62" s="46"/>
      <c r="G62" s="48"/>
    </row>
    <row r="63" spans="2:8" x14ac:dyDescent="0.25">
      <c r="B63" s="24" t="s">
        <v>95</v>
      </c>
      <c r="C63" s="12"/>
      <c r="D63" s="12"/>
      <c r="E63" s="12"/>
      <c r="F63" s="12"/>
      <c r="G63" s="13"/>
    </row>
    <row r="64" spans="2:8" ht="13.8" thickBot="1" x14ac:dyDescent="0.3">
      <c r="B64" s="10"/>
      <c r="C64" s="11"/>
      <c r="D64" s="12"/>
      <c r="E64" s="12"/>
      <c r="F64" s="12"/>
      <c r="G64" s="13"/>
    </row>
    <row r="65" spans="1:17" ht="13.8" thickBot="1" x14ac:dyDescent="0.3">
      <c r="B65" s="14" t="s">
        <v>96</v>
      </c>
      <c r="C65" s="73" t="s">
        <v>97</v>
      </c>
      <c r="D65" s="74">
        <v>1.78E-2</v>
      </c>
      <c r="E65" s="12"/>
      <c r="F65" s="12"/>
      <c r="G65" s="13"/>
    </row>
    <row r="66" spans="1:17" ht="13.8" thickBot="1" x14ac:dyDescent="0.3">
      <c r="B66" s="10"/>
      <c r="C66" s="12"/>
      <c r="D66" s="12"/>
      <c r="E66" s="11"/>
      <c r="F66" s="51"/>
      <c r="G66" s="13"/>
    </row>
    <row r="67" spans="1:17" ht="13.8" thickBot="1" x14ac:dyDescent="0.3">
      <c r="B67" s="63" t="s">
        <v>64</v>
      </c>
      <c r="C67" s="12"/>
      <c r="D67" s="13"/>
      <c r="E67" s="12" t="s">
        <v>98</v>
      </c>
      <c r="F67" s="123">
        <f>(((F55/D43)*D65*D11*2/D33)/((PI()*((D41/2)*(D41/2)))*D43))</f>
        <v>0.14233530855843227</v>
      </c>
      <c r="G67" s="13" t="s">
        <v>78</v>
      </c>
    </row>
    <row r="68" spans="1:17" ht="13.8" thickBot="1" x14ac:dyDescent="0.3">
      <c r="B68" s="10"/>
      <c r="C68" s="12"/>
      <c r="D68" s="13"/>
      <c r="E68" s="12"/>
      <c r="F68" s="13"/>
      <c r="G68" s="13"/>
      <c r="H68" s="3"/>
      <c r="I68" s="3"/>
    </row>
    <row r="69" spans="1:17" ht="13.8" thickBot="1" x14ac:dyDescent="0.3">
      <c r="B69" s="63" t="s">
        <v>67</v>
      </c>
      <c r="C69" s="12"/>
      <c r="D69" s="13"/>
      <c r="E69" s="75" t="s">
        <v>98</v>
      </c>
      <c r="F69" s="20">
        <f>((((F59/D43)*D65*D11*2/D33)/((PI()*((D41/2)*(D41/2)))*D43)))/3</f>
        <v>8.2189740299330225E-2</v>
      </c>
      <c r="G69" s="13" t="s">
        <v>78</v>
      </c>
      <c r="H69" s="3"/>
      <c r="I69" s="3"/>
    </row>
    <row r="70" spans="1:17" x14ac:dyDescent="0.25">
      <c r="B70" s="10"/>
      <c r="C70" s="12"/>
      <c r="D70" s="12"/>
      <c r="E70" s="12"/>
      <c r="F70" s="12"/>
      <c r="G70" s="13"/>
    </row>
    <row r="71" spans="1:17" ht="13.8" thickBot="1" x14ac:dyDescent="0.3">
      <c r="B71" s="21"/>
      <c r="C71" s="22"/>
      <c r="D71" s="22"/>
      <c r="E71" s="22"/>
      <c r="F71" s="22"/>
      <c r="G71" s="23"/>
    </row>
    <row r="72" spans="1:17" x14ac:dyDescent="0.25">
      <c r="B72" s="24" t="s">
        <v>99</v>
      </c>
      <c r="C72" s="30"/>
      <c r="D72" s="30"/>
      <c r="E72" s="30"/>
      <c r="F72" s="30"/>
      <c r="G72" s="31"/>
    </row>
    <row r="73" spans="1:17" ht="13.8" x14ac:dyDescent="0.25">
      <c r="B73" s="96" t="s">
        <v>100</v>
      </c>
      <c r="C73" s="30"/>
      <c r="D73" s="30"/>
      <c r="E73" s="30"/>
      <c r="F73" s="30"/>
      <c r="G73" s="31"/>
    </row>
    <row r="74" spans="1:17" ht="13.8" thickBot="1" x14ac:dyDescent="0.3">
      <c r="B74" s="28"/>
      <c r="C74" s="30"/>
      <c r="D74" s="30"/>
      <c r="E74" s="145" t="s">
        <v>64</v>
      </c>
      <c r="F74" s="30"/>
      <c r="G74" s="31"/>
    </row>
    <row r="75" spans="1:17" x14ac:dyDescent="0.25">
      <c r="B75" s="76" t="s">
        <v>101</v>
      </c>
      <c r="C75" s="37" t="s">
        <v>102</v>
      </c>
      <c r="D75" s="77">
        <v>1.23</v>
      </c>
      <c r="E75" s="78" t="s">
        <v>87</v>
      </c>
      <c r="F75" s="79">
        <f>0.5*D75*D76*0.01*D78^3*D7^2*0.25*PI()</f>
        <v>912.69889064097254</v>
      </c>
      <c r="G75" s="31" t="s">
        <v>103</v>
      </c>
    </row>
    <row r="76" spans="1:17" x14ac:dyDescent="0.25">
      <c r="B76" s="76" t="s">
        <v>104</v>
      </c>
      <c r="C76" s="37" t="s">
        <v>90</v>
      </c>
      <c r="D76" s="80">
        <v>45</v>
      </c>
      <c r="E76" s="78" t="s">
        <v>116</v>
      </c>
      <c r="F76" s="81">
        <f>(D41^4*D32^2*F25^2*D80^2*D13*0.001*D11*2*F35*D43*PI())/(144*10^8*D65)</f>
        <v>141.66269776325962</v>
      </c>
      <c r="G76" s="31" t="s">
        <v>103</v>
      </c>
      <c r="H76" s="153" t="s">
        <v>143</v>
      </c>
    </row>
    <row r="77" spans="1:17" x14ac:dyDescent="0.25">
      <c r="B77" s="76" t="s">
        <v>106</v>
      </c>
      <c r="C77" s="37" t="s">
        <v>83</v>
      </c>
      <c r="D77" s="82">
        <v>1.8</v>
      </c>
      <c r="E77" s="78" t="s">
        <v>118</v>
      </c>
      <c r="F77" s="81">
        <f>F75-F76</f>
        <v>771.03619287771289</v>
      </c>
      <c r="G77" s="31" t="s">
        <v>103</v>
      </c>
    </row>
    <row r="78" spans="1:17" ht="13.8" thickBot="1" x14ac:dyDescent="0.3">
      <c r="B78" s="76" t="s">
        <v>108</v>
      </c>
      <c r="C78" s="37" t="s">
        <v>27</v>
      </c>
      <c r="D78" s="85">
        <v>9</v>
      </c>
      <c r="E78" s="78" t="s">
        <v>105</v>
      </c>
      <c r="F78" s="81">
        <f>SQRT((D29*D29+2*F77*F67)/(2*F67*F67)-SQRT((D29^2+2*F77*F67)^2/(4*F67^4)-(F77^2/F67^2)))</f>
        <v>27.606618407180331</v>
      </c>
      <c r="G78" s="31" t="s">
        <v>86</v>
      </c>
    </row>
    <row r="79" spans="1:17" ht="13.8" thickBot="1" x14ac:dyDescent="0.3">
      <c r="A79" s="87"/>
      <c r="B79" s="28"/>
      <c r="C79" s="30"/>
      <c r="D79" s="31"/>
      <c r="E79" s="83" t="s">
        <v>107</v>
      </c>
      <c r="F79" s="84">
        <f>F77-F78^2*F67</f>
        <v>662.55884177232792</v>
      </c>
      <c r="G79" s="31" t="s">
        <v>103</v>
      </c>
    </row>
    <row r="80" spans="1:17" ht="13.8" thickBot="1" x14ac:dyDescent="0.3">
      <c r="A80" s="88"/>
      <c r="B80" s="76" t="s">
        <v>119</v>
      </c>
      <c r="C80" s="37" t="s">
        <v>81</v>
      </c>
      <c r="D80" s="150">
        <f>D78*60*D5/(D7*PI())</f>
        <v>516.00000000000011</v>
      </c>
      <c r="E80" s="83" t="s">
        <v>109</v>
      </c>
      <c r="F80" s="84">
        <f>F79*100/F75</f>
        <v>72.593365519160912</v>
      </c>
      <c r="G80" s="31" t="s">
        <v>90</v>
      </c>
      <c r="Q80" s="121"/>
    </row>
    <row r="81" spans="1:9" x14ac:dyDescent="0.25">
      <c r="A81" s="90"/>
      <c r="B81" s="28"/>
      <c r="C81" s="30"/>
      <c r="D81" s="31"/>
      <c r="E81" s="83" t="s">
        <v>110</v>
      </c>
      <c r="F81" s="86">
        <f>F78^2*F67</f>
        <v>108.47735110538494</v>
      </c>
      <c r="G81" s="31" t="s">
        <v>103</v>
      </c>
    </row>
    <row r="82" spans="1:9" x14ac:dyDescent="0.25">
      <c r="A82" s="90"/>
      <c r="B82" s="28"/>
      <c r="C82" s="37"/>
      <c r="D82" s="89"/>
      <c r="E82" s="78" t="s">
        <v>111</v>
      </c>
      <c r="F82" s="81">
        <f>D77*F78</f>
        <v>49.691913132924597</v>
      </c>
      <c r="G82" s="31" t="s">
        <v>103</v>
      </c>
    </row>
    <row r="83" spans="1:9" x14ac:dyDescent="0.25">
      <c r="B83" s="28"/>
      <c r="C83" s="37"/>
      <c r="D83" s="89"/>
      <c r="E83" s="78" t="s">
        <v>112</v>
      </c>
      <c r="F83" s="84">
        <f>F79-F82</f>
        <v>612.86692863940334</v>
      </c>
      <c r="G83" s="31" t="s">
        <v>103</v>
      </c>
      <c r="H83" s="131"/>
      <c r="I83" s="131"/>
    </row>
    <row r="84" spans="1:9" x14ac:dyDescent="0.25">
      <c r="B84" s="76"/>
      <c r="C84" s="37"/>
      <c r="D84" s="89"/>
      <c r="E84" s="78" t="s">
        <v>113</v>
      </c>
      <c r="F84" s="140">
        <f>F83/D29</f>
        <v>25.536122026641806</v>
      </c>
      <c r="G84" s="31" t="s">
        <v>86</v>
      </c>
      <c r="H84" s="1" t="s">
        <v>142</v>
      </c>
    </row>
    <row r="85" spans="1:9" x14ac:dyDescent="0.25">
      <c r="B85" s="76"/>
      <c r="C85" s="37"/>
      <c r="D85" s="89"/>
      <c r="E85" s="83" t="s">
        <v>114</v>
      </c>
      <c r="F85" s="84">
        <f>F83/F75*100</f>
        <v>67.148863105223839</v>
      </c>
      <c r="G85" s="31" t="s">
        <v>90</v>
      </c>
      <c r="H85" s="3"/>
      <c r="I85" s="3"/>
    </row>
    <row r="86" spans="1:9" ht="13.8" thickBot="1" x14ac:dyDescent="0.3">
      <c r="B86" s="76"/>
      <c r="C86" s="37"/>
      <c r="D86" s="37"/>
      <c r="E86" s="99" t="s">
        <v>115</v>
      </c>
      <c r="F86" s="98">
        <f>F83/F75*D76</f>
        <v>30.216988397350729</v>
      </c>
      <c r="G86" s="31" t="s">
        <v>90</v>
      </c>
      <c r="H86" s="3"/>
      <c r="I86" s="3"/>
    </row>
    <row r="87" spans="1:9" x14ac:dyDescent="0.25">
      <c r="B87" s="76"/>
      <c r="C87" s="37"/>
      <c r="D87" s="37"/>
      <c r="E87" s="103"/>
      <c r="F87" s="37"/>
      <c r="G87" s="31"/>
      <c r="H87" s="3"/>
      <c r="I87" s="3"/>
    </row>
    <row r="88" spans="1:9" x14ac:dyDescent="0.25">
      <c r="B88" s="76"/>
      <c r="C88" s="37"/>
      <c r="D88" s="37"/>
      <c r="E88" s="37"/>
      <c r="F88" s="37"/>
      <c r="G88" s="31"/>
    </row>
    <row r="89" spans="1:9" ht="13.8" thickBot="1" x14ac:dyDescent="0.3">
      <c r="B89" s="76"/>
      <c r="C89" s="37"/>
      <c r="D89" s="92"/>
      <c r="E89" s="146" t="s">
        <v>67</v>
      </c>
      <c r="F89" s="45"/>
      <c r="G89" s="31"/>
    </row>
    <row r="90" spans="1:9" x14ac:dyDescent="0.25">
      <c r="B90" s="76"/>
      <c r="C90" s="92"/>
      <c r="D90" s="31"/>
      <c r="E90" s="78" t="s">
        <v>87</v>
      </c>
      <c r="F90" s="79">
        <f>(0.5*D75*(PI()*((D7/2)*(D7/2)))*(D78*D78*D78)*(D76/100))</f>
        <v>912.69889064097265</v>
      </c>
      <c r="G90" s="31" t="s">
        <v>103</v>
      </c>
    </row>
    <row r="91" spans="1:9" x14ac:dyDescent="0.25">
      <c r="B91" s="76"/>
      <c r="C91" s="92"/>
      <c r="D91" s="31"/>
      <c r="E91" s="78" t="s">
        <v>116</v>
      </c>
      <c r="F91" s="81">
        <f>(D41^4*D32^2*F25^2*D80^2*D13*0.001*D11*2*PI()*F37*D43)/(144*10^8*D65)</f>
        <v>245.40404887277086</v>
      </c>
      <c r="G91" s="31" t="s">
        <v>103</v>
      </c>
    </row>
    <row r="92" spans="1:9" x14ac:dyDescent="0.25">
      <c r="B92" s="76"/>
      <c r="C92" s="92"/>
      <c r="D92" s="31"/>
      <c r="E92" s="78" t="s">
        <v>118</v>
      </c>
      <c r="F92" s="81">
        <f>F90-F91</f>
        <v>667.29484176820176</v>
      </c>
      <c r="G92" s="31" t="s">
        <v>103</v>
      </c>
    </row>
    <row r="93" spans="1:9" x14ac:dyDescent="0.25">
      <c r="B93" s="76"/>
      <c r="C93" s="92"/>
      <c r="D93" s="31"/>
      <c r="E93" s="78" t="s">
        <v>105</v>
      </c>
      <c r="F93" s="81">
        <f>SQRT((D29*D29+2*F92*F69)/(2*F69*F69)-SQRT((D29^2+2*F92*F69)^2/(4*F69^4)-(F92^2/F69^2)))</f>
        <v>25.565643806505385</v>
      </c>
      <c r="G93" s="31" t="s">
        <v>86</v>
      </c>
    </row>
    <row r="94" spans="1:9" x14ac:dyDescent="0.25">
      <c r="B94" s="28"/>
      <c r="C94" s="37"/>
      <c r="D94" s="31"/>
      <c r="E94" s="83" t="s">
        <v>107</v>
      </c>
      <c r="F94" s="84">
        <f>F92-F93^2*F69</f>
        <v>613.57545135612952</v>
      </c>
      <c r="G94" s="31" t="s">
        <v>103</v>
      </c>
    </row>
    <row r="95" spans="1:9" x14ac:dyDescent="0.25">
      <c r="B95" s="76"/>
      <c r="C95" s="92"/>
      <c r="D95" s="31"/>
      <c r="E95" s="83" t="s">
        <v>109</v>
      </c>
      <c r="F95" s="84">
        <f>F94*100/F90</f>
        <v>67.226492510057298</v>
      </c>
      <c r="G95" s="31" t="s">
        <v>90</v>
      </c>
    </row>
    <row r="96" spans="1:9" x14ac:dyDescent="0.25">
      <c r="B96" s="76"/>
      <c r="C96" s="92"/>
      <c r="D96" s="31"/>
      <c r="E96" s="83" t="s">
        <v>110</v>
      </c>
      <c r="F96" s="86">
        <f>F93^2*F69</f>
        <v>53.719390412072229</v>
      </c>
      <c r="G96" s="31" t="s">
        <v>103</v>
      </c>
    </row>
    <row r="97" spans="2:9" x14ac:dyDescent="0.25">
      <c r="B97" s="36"/>
      <c r="C97" s="72"/>
      <c r="D97" s="31"/>
      <c r="E97" s="78" t="s">
        <v>111</v>
      </c>
      <c r="F97" s="81">
        <f>D77*F93</f>
        <v>46.018158851709693</v>
      </c>
      <c r="G97" s="31" t="s">
        <v>103</v>
      </c>
      <c r="H97" s="130"/>
      <c r="I97" s="130"/>
    </row>
    <row r="98" spans="2:9" x14ac:dyDescent="0.25">
      <c r="B98" s="36"/>
      <c r="C98" s="72"/>
      <c r="D98" s="31"/>
      <c r="E98" s="78" t="s">
        <v>112</v>
      </c>
      <c r="F98" s="81">
        <f>F94-F97</f>
        <v>567.55729250441982</v>
      </c>
      <c r="G98" s="31" t="s">
        <v>103</v>
      </c>
    </row>
    <row r="99" spans="2:9" x14ac:dyDescent="0.25">
      <c r="B99" s="36"/>
      <c r="C99" s="72"/>
      <c r="D99" s="31"/>
      <c r="E99" s="78" t="s">
        <v>113</v>
      </c>
      <c r="F99" s="81">
        <f>F98/D29</f>
        <v>23.648220521017493</v>
      </c>
      <c r="G99" s="31" t="s">
        <v>86</v>
      </c>
    </row>
    <row r="100" spans="2:9" x14ac:dyDescent="0.25">
      <c r="B100" s="36"/>
      <c r="C100" s="72"/>
      <c r="D100" s="31"/>
      <c r="E100" s="83" t="s">
        <v>114</v>
      </c>
      <c r="F100" s="84">
        <f>F98*100/F90</f>
        <v>62.184505571803001</v>
      </c>
      <c r="G100" s="31" t="s">
        <v>90</v>
      </c>
    </row>
    <row r="101" spans="2:9" ht="13.8" thickBot="1" x14ac:dyDescent="0.3">
      <c r="B101" s="36"/>
      <c r="C101" s="72"/>
      <c r="D101" s="31"/>
      <c r="E101" s="93" t="s">
        <v>115</v>
      </c>
      <c r="F101" s="91">
        <f>F95*D76/100</f>
        <v>30.251921629525782</v>
      </c>
      <c r="G101" s="31" t="s">
        <v>90</v>
      </c>
    </row>
    <row r="102" spans="2:9" ht="13.8" thickBot="1" x14ac:dyDescent="0.3">
      <c r="B102" s="66"/>
      <c r="C102" s="46"/>
      <c r="D102" s="46"/>
      <c r="E102" s="94"/>
      <c r="F102" s="95"/>
      <c r="G102" s="48"/>
    </row>
    <row r="142" spans="1:1" x14ac:dyDescent="0.25">
      <c r="A142" s="30"/>
    </row>
  </sheetData>
  <sheetProtection selectLockedCells="1" selectUnlockedCells="1"/>
  <conditionalFormatting sqref="F47">
    <cfRule type="cellIs" dxfId="1" priority="1" stopIfTrue="1" operator="greaterThan">
      <formula>$D$24-(2*$D$44)-(2*$D$45)</formula>
    </cfRule>
  </conditionalFormatting>
  <conditionalFormatting sqref="F49">
    <cfRule type="cellIs" dxfId="0" priority="2" stopIfTrue="1" operator="greaterThan">
      <formula>$D$24-(2*$D$44)-(2*$D$45)</formula>
    </cfRule>
  </conditionalFormatting>
  <hyperlinks>
    <hyperlink ref="I48" r:id="rId1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F1" sqref="F1"/>
    </sheetView>
  </sheetViews>
  <sheetFormatPr baseColWidth="10" defaultRowHeight="13.2" x14ac:dyDescent="0.25"/>
  <cols>
    <col min="1" max="1" width="15.109375" customWidth="1"/>
    <col min="2" max="2" width="11.44140625" customWidth="1"/>
    <col min="3" max="3" width="18.109375" customWidth="1"/>
    <col min="4" max="4" width="10.6640625" customWidth="1"/>
    <col min="5" max="5" width="20.109375" customWidth="1"/>
    <col min="6" max="6" width="10" customWidth="1"/>
    <col min="7" max="7" width="11.44140625" customWidth="1"/>
    <col min="8" max="8" width="18.88671875" customWidth="1"/>
    <col min="9" max="9" width="15.6640625" customWidth="1"/>
    <col min="12" max="12" width="13.109375" customWidth="1"/>
  </cols>
  <sheetData>
    <row r="1" spans="1:23" ht="24.6" x14ac:dyDescent="0.4">
      <c r="A1" s="105" t="s">
        <v>126</v>
      </c>
    </row>
    <row r="3" spans="1:23" ht="15.6" x14ac:dyDescent="0.3">
      <c r="A3" s="112" t="s">
        <v>122</v>
      </c>
      <c r="B3" s="107" t="s">
        <v>117</v>
      </c>
      <c r="C3" s="107" t="s">
        <v>123</v>
      </c>
      <c r="D3" s="107" t="s">
        <v>129</v>
      </c>
      <c r="E3" s="107" t="s">
        <v>127</v>
      </c>
      <c r="F3" s="107" t="s">
        <v>85</v>
      </c>
      <c r="G3" s="107" t="s">
        <v>128</v>
      </c>
      <c r="H3" s="107" t="s">
        <v>130</v>
      </c>
      <c r="I3" s="107" t="s">
        <v>132</v>
      </c>
      <c r="J3" s="107" t="s">
        <v>131</v>
      </c>
      <c r="K3" s="107" t="s">
        <v>133</v>
      </c>
      <c r="L3" s="112" t="s">
        <v>135</v>
      </c>
    </row>
    <row r="4" spans="1:23" x14ac:dyDescent="0.25">
      <c r="A4" s="113" t="s">
        <v>120</v>
      </c>
      <c r="B4" s="108" t="s">
        <v>121</v>
      </c>
      <c r="C4" s="108" t="s">
        <v>121</v>
      </c>
      <c r="D4" s="108" t="s">
        <v>121</v>
      </c>
      <c r="E4" s="108" t="s">
        <v>124</v>
      </c>
      <c r="F4" s="108" t="s">
        <v>125</v>
      </c>
      <c r="G4" s="108" t="s">
        <v>121</v>
      </c>
      <c r="H4" s="108" t="s">
        <v>121</v>
      </c>
      <c r="I4" s="108" t="s">
        <v>121</v>
      </c>
      <c r="J4" s="108" t="s">
        <v>121</v>
      </c>
      <c r="K4" s="108" t="s">
        <v>134</v>
      </c>
      <c r="L4" s="113" t="s">
        <v>134</v>
      </c>
    </row>
    <row r="5" spans="1:23" ht="13.8" thickBot="1" x14ac:dyDescent="0.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4"/>
      <c r="U5" s="106"/>
      <c r="V5" s="106"/>
      <c r="W5" s="106"/>
    </row>
    <row r="6" spans="1:23" x14ac:dyDescent="0.25">
      <c r="B6" s="110"/>
      <c r="C6" s="110"/>
      <c r="D6" s="110"/>
      <c r="E6" s="110"/>
      <c r="F6" s="110"/>
      <c r="G6" s="110"/>
      <c r="H6" s="110"/>
      <c r="I6" s="110"/>
      <c r="J6" s="110"/>
      <c r="K6" s="110"/>
      <c r="U6" s="106"/>
      <c r="V6" s="106"/>
      <c r="W6" s="106"/>
    </row>
    <row r="7" spans="1:23" x14ac:dyDescent="0.25">
      <c r="A7" s="104">
        <v>1</v>
      </c>
      <c r="B7" s="109">
        <f>A7^3*Sheet!$D$75/2*Sheet!$D$7^2/4*PI()*Sheet!$D$76/100</f>
        <v>1.2519875043086044</v>
      </c>
      <c r="C7" s="109">
        <f>(Sheet!$D$41^4*Sheet!$D$32^2*Sheet!$F$25^2*(Sheet!$D$5*60*Stern!A7/(PI()*Sheet!$D$7))^2*Sheet!$D$13*0.001*Sheet!$D$11*2*Sheet!$F$35*Sheet!$D$43*PI())/(144*10^8*Sheet!$D$65)</f>
        <v>1.7489221946081435</v>
      </c>
      <c r="D7" s="109">
        <f>B7-C7</f>
        <v>-0.49693469029953907</v>
      </c>
      <c r="E7" s="109">
        <f>Sheet!D29</f>
        <v>24</v>
      </c>
      <c r="F7" s="111">
        <f>(-Sheet!$D$29+SQRT(Sheet!$D$29^2+4*Sheet!$F$67*D7))/(2*Sheet!$F$67)</f>
        <v>-2.070815531758155E-2</v>
      </c>
      <c r="G7" s="109">
        <f>F7^2*Sheet!$F$67</f>
        <v>6.1037322522087425E-5</v>
      </c>
      <c r="H7" s="109">
        <f>F7*Sheet!$D$77</f>
        <v>-3.727467957164679E-2</v>
      </c>
      <c r="I7" s="109">
        <f>H7+G7</f>
        <v>-3.7213642249124705E-2</v>
      </c>
      <c r="J7" s="109">
        <f>IF(I7&gt;0,D7-I7,0)</f>
        <v>0</v>
      </c>
      <c r="K7" s="109">
        <f>E7*F7/B7*100</f>
        <v>-39.696540573415497</v>
      </c>
      <c r="L7" s="104">
        <f>J7/(B7/Sheet!$D$76)</f>
        <v>0</v>
      </c>
      <c r="N7" s="130"/>
      <c r="U7" s="106"/>
      <c r="V7" s="106"/>
      <c r="W7" s="106"/>
    </row>
    <row r="8" spans="1:23" x14ac:dyDescent="0.25">
      <c r="A8" s="104">
        <v>1.5</v>
      </c>
      <c r="B8" s="109">
        <f>A8^3*Sheet!$D$75/2*Sheet!$D$7^2/4*PI()*Sheet!$D$76/100</f>
        <v>4.2254578270415397</v>
      </c>
      <c r="C8" s="109">
        <f>(Sheet!$D$41^4*Sheet!$D$32^2*Sheet!$F$25^2*(Sheet!$D$5*60*Stern!A8/(PI()*Sheet!$D$7))^2*Sheet!$D$13*0.001*Sheet!$D$11*2*Sheet!$F$35*Sheet!$D$43*PI())/(144*10^8*Sheet!$D$65)</f>
        <v>3.9350749378683214</v>
      </c>
      <c r="D8" s="109">
        <f t="shared" ref="D8:D29" si="0">B8-C8</f>
        <v>0.29038288917321831</v>
      </c>
      <c r="E8" s="109">
        <f>E7</f>
        <v>24</v>
      </c>
      <c r="F8" s="111">
        <f>(-Sheet!$D$29+SQRT(Sheet!$D$29^2+4*Sheet!$F$67*D8))/(2*Sheet!$F$67)</f>
        <v>1.2098418971091355E-2</v>
      </c>
      <c r="G8" s="109">
        <f>F8^2*Sheet!$F$67</f>
        <v>2.0833867004880109E-5</v>
      </c>
      <c r="H8" s="109">
        <f>F8*Sheet!$D$77</f>
        <v>2.1777154147964439E-2</v>
      </c>
      <c r="I8" s="109">
        <f t="shared" ref="I8:I29" si="1">H8+G8</f>
        <v>2.1797988014969318E-2</v>
      </c>
      <c r="J8" s="109">
        <f t="shared" ref="J8:J28" si="2">IF(I8&gt;0,D8-I8,0)</f>
        <v>0.26858490115824901</v>
      </c>
      <c r="K8" s="109">
        <f t="shared" ref="K8:K29" si="3">E8*F8/B8*100</f>
        <v>6.8717300513087816</v>
      </c>
      <c r="L8" s="104">
        <f>J8/(B8/Sheet!$D$76)</f>
        <v>2.8603576338575034</v>
      </c>
      <c r="N8" s="130"/>
      <c r="U8" s="106"/>
      <c r="V8" s="106"/>
      <c r="W8" s="106"/>
    </row>
    <row r="9" spans="1:23" x14ac:dyDescent="0.25">
      <c r="A9" s="104">
        <v>2</v>
      </c>
      <c r="B9" s="109">
        <f>A9^3*Sheet!$D$75/2*Sheet!$D$7^2/4*PI()*Sheet!$D$76/100</f>
        <v>10.015900034468835</v>
      </c>
      <c r="C9" s="109">
        <f>(Sheet!$D$41^4*Sheet!$D$32^2*Sheet!$F$25^2*(Sheet!$D$5*60*Stern!A9/(PI()*Sheet!$D$7))^2*Sheet!$D$13*0.001*Sheet!$D$11*2*Sheet!$F$35*Sheet!$D$43*PI())/(144*10^8*Sheet!$D$65)</f>
        <v>6.9956887784325739</v>
      </c>
      <c r="D9" s="109">
        <f t="shared" si="0"/>
        <v>3.0202112560362613</v>
      </c>
      <c r="E9" s="109">
        <f t="shared" ref="E9:E29" si="4">E8</f>
        <v>24</v>
      </c>
      <c r="F9" s="111">
        <f>(-Sheet!$D$29+SQRT(Sheet!$D$29^2+4*Sheet!$F$67*D9))/(2*Sheet!$F$67)</f>
        <v>0.12574835657233396</v>
      </c>
      <c r="G9" s="109">
        <f>F9^2*Sheet!$F$67</f>
        <v>2.2506983002530405E-3</v>
      </c>
      <c r="H9" s="109">
        <f>F9*Sheet!$D$77</f>
        <v>0.22634704183020113</v>
      </c>
      <c r="I9" s="109">
        <f t="shared" si="1"/>
        <v>0.22859774013045417</v>
      </c>
      <c r="J9" s="109">
        <f t="shared" si="2"/>
        <v>2.7916135159058073</v>
      </c>
      <c r="K9" s="109">
        <f t="shared" si="3"/>
        <v>30.13169607673769</v>
      </c>
      <c r="L9" s="104">
        <f>J9/(B9/Sheet!$D$76)</f>
        <v>12.542318491942034</v>
      </c>
      <c r="N9" s="130"/>
      <c r="U9" s="106"/>
      <c r="V9" s="106"/>
      <c r="W9" s="106"/>
    </row>
    <row r="10" spans="1:23" x14ac:dyDescent="0.25">
      <c r="A10" s="104">
        <v>2.5</v>
      </c>
      <c r="B10" s="109">
        <f>A10^3*Sheet!$D$75/2*Sheet!$D$7^2/4*PI()*Sheet!$D$76/100</f>
        <v>19.562304754821941</v>
      </c>
      <c r="C10" s="109">
        <f>(Sheet!$D$41^4*Sheet!$D$32^2*Sheet!$F$25^2*(Sheet!$D$5*60*Stern!A10/(PI()*Sheet!$D$7))^2*Sheet!$D$13*0.001*Sheet!$D$11*2*Sheet!$F$35*Sheet!$D$43*PI())/(144*10^8*Sheet!$D$65)</f>
        <v>10.930763716300893</v>
      </c>
      <c r="D10" s="109">
        <f t="shared" si="0"/>
        <v>8.631541038521048</v>
      </c>
      <c r="E10" s="109">
        <f t="shared" si="4"/>
        <v>24</v>
      </c>
      <c r="F10" s="111">
        <f>(-Sheet!$D$29+SQRT(Sheet!$D$29^2+4*Sheet!$F$67*D10))/(2*Sheet!$F$67)</f>
        <v>0.35888369191672786</v>
      </c>
      <c r="G10" s="109">
        <f>F10^2*Sheet!$F$67</f>
        <v>1.833243251948136E-2</v>
      </c>
      <c r="H10" s="109">
        <f>F10*Sheet!$D$77</f>
        <v>0.6459906454501102</v>
      </c>
      <c r="I10" s="109">
        <f t="shared" si="1"/>
        <v>0.66432307796959156</v>
      </c>
      <c r="J10" s="109">
        <f t="shared" si="2"/>
        <v>7.9672179605514568</v>
      </c>
      <c r="K10" s="109">
        <f t="shared" si="3"/>
        <v>44.029620813868497</v>
      </c>
      <c r="L10" s="104">
        <f>J10/(B10/Sheet!$D$76)</f>
        <v>18.327329663772989</v>
      </c>
      <c r="N10" s="130"/>
      <c r="U10" s="106"/>
      <c r="V10" s="106"/>
      <c r="W10" s="106"/>
    </row>
    <row r="11" spans="1:23" x14ac:dyDescent="0.25">
      <c r="A11" s="104">
        <v>3</v>
      </c>
      <c r="B11" s="109">
        <f>A11^3*Sheet!$D$75/2*Sheet!$D$7^2/4*PI()*Sheet!$D$76/100</f>
        <v>33.803662616332318</v>
      </c>
      <c r="C11" s="109">
        <f>(Sheet!$D$41^4*Sheet!$D$32^2*Sheet!$F$25^2*(Sheet!$D$5*60*Stern!A11/(PI()*Sheet!$D$7))^2*Sheet!$D$13*0.001*Sheet!$D$11*2*Sheet!$F$35*Sheet!$D$43*PI())/(144*10^8*Sheet!$D$65)</f>
        <v>15.740299751473286</v>
      </c>
      <c r="D11" s="109">
        <f t="shared" si="0"/>
        <v>18.06336286485903</v>
      </c>
      <c r="E11" s="109">
        <f t="shared" si="4"/>
        <v>24</v>
      </c>
      <c r="F11" s="111">
        <f>(-Sheet!$D$29+SQRT(Sheet!$D$29^2+4*Sheet!$F$67*D11))/(2*Sheet!$F$67)</f>
        <v>0.74931026857436134</v>
      </c>
      <c r="G11" s="109">
        <f>F11^2*Sheet!$F$67</f>
        <v>7.9916419074278627E-2</v>
      </c>
      <c r="H11" s="109">
        <f>F11*Sheet!$D$77</f>
        <v>1.3487584834338504</v>
      </c>
      <c r="I11" s="109">
        <f t="shared" si="1"/>
        <v>1.4286749025081291</v>
      </c>
      <c r="J11" s="109">
        <f t="shared" si="2"/>
        <v>16.634687962350903</v>
      </c>
      <c r="K11" s="109">
        <f t="shared" si="3"/>
        <v>53.19969806199618</v>
      </c>
      <c r="L11" s="104">
        <f>J11/(B11/Sheet!$D$76)</f>
        <v>22.144374318306021</v>
      </c>
      <c r="N11" s="130"/>
      <c r="U11" s="106"/>
      <c r="V11" s="106"/>
      <c r="W11" s="106"/>
    </row>
    <row r="12" spans="1:23" x14ac:dyDescent="0.25">
      <c r="A12" s="104">
        <v>3.5</v>
      </c>
      <c r="B12" s="109">
        <f>A12^3*Sheet!$D$75/2*Sheet!$D$7^2/4*PI()*Sheet!$D$76/100</f>
        <v>53.678964247231406</v>
      </c>
      <c r="C12" s="109">
        <f>(Sheet!$D$41^4*Sheet!$D$32^2*Sheet!$F$25^2*(Sheet!$D$5*60*Stern!A12/(PI()*Sheet!$D$7))^2*Sheet!$D$13*0.001*Sheet!$D$11*2*Sheet!$F$35*Sheet!$D$43*PI())/(144*10^8*Sheet!$D$65)</f>
        <v>21.424296883949754</v>
      </c>
      <c r="D12" s="109">
        <f t="shared" si="0"/>
        <v>32.254667363281655</v>
      </c>
      <c r="E12" s="109">
        <f t="shared" si="4"/>
        <v>24</v>
      </c>
      <c r="F12" s="111">
        <f>(-Sheet!$D$29+SQRT(Sheet!$D$29^2+4*Sheet!$F$67*D12))/(2*Sheet!$F$67)</f>
        <v>1.3334000619389532</v>
      </c>
      <c r="G12" s="109">
        <f>F12^2*Sheet!$F$67</f>
        <v>0.25306587674655628</v>
      </c>
      <c r="H12" s="109">
        <f>F12*Sheet!$D$77</f>
        <v>2.4001201114901161</v>
      </c>
      <c r="I12" s="109">
        <f t="shared" si="1"/>
        <v>2.6531859882366722</v>
      </c>
      <c r="J12" s="109">
        <f t="shared" si="2"/>
        <v>29.601481375044983</v>
      </c>
      <c r="K12" s="109">
        <f t="shared" si="3"/>
        <v>59.616652324258332</v>
      </c>
      <c r="L12" s="104">
        <f>J12/(B12/Sheet!$D$76)</f>
        <v>24.815431529972713</v>
      </c>
      <c r="N12" s="130"/>
      <c r="U12" s="106"/>
      <c r="V12" s="106"/>
      <c r="W12" s="106"/>
    </row>
    <row r="13" spans="1:23" x14ac:dyDescent="0.25">
      <c r="A13" s="104">
        <v>4</v>
      </c>
      <c r="B13" s="109">
        <f>A13^3*Sheet!$D$75/2*Sheet!$D$7^2/4*PI()*Sheet!$D$76/100</f>
        <v>80.127200275750681</v>
      </c>
      <c r="C13" s="109">
        <f>(Sheet!$D$41^4*Sheet!$D$32^2*Sheet!$F$25^2*(Sheet!$D$5*60*Stern!A13/(PI()*Sheet!$D$7))^2*Sheet!$D$13*0.001*Sheet!$D$11*2*Sheet!$F$35*Sheet!$D$43*PI())/(144*10^8*Sheet!$D$65)</f>
        <v>27.982755113730295</v>
      </c>
      <c r="D13" s="109">
        <f t="shared" si="0"/>
        <v>52.144445162020389</v>
      </c>
      <c r="E13" s="109">
        <f t="shared" si="4"/>
        <v>24</v>
      </c>
      <c r="F13" s="111">
        <f>(-Sheet!$D$29+SQRT(Sheet!$D$29^2+4*Sheet!$F$67*D13))/(2*Sheet!$F$67)</f>
        <v>2.1453883213055933</v>
      </c>
      <c r="G13" s="109">
        <f>F13^2*Sheet!$F$67</f>
        <v>0.65512545068622374</v>
      </c>
      <c r="H13" s="109">
        <f>F13*Sheet!$D$77</f>
        <v>3.8616989783500681</v>
      </c>
      <c r="I13" s="109">
        <f t="shared" si="1"/>
        <v>4.5168244290362916</v>
      </c>
      <c r="J13" s="109">
        <f t="shared" si="2"/>
        <v>47.627620732984099</v>
      </c>
      <c r="K13" s="109">
        <f t="shared" si="3"/>
        <v>64.259476849482184</v>
      </c>
      <c r="L13" s="104">
        <f>J13/(B13/Sheet!$D$76)</f>
        <v>26.748007238596919</v>
      </c>
      <c r="N13" s="130"/>
      <c r="U13" s="106"/>
      <c r="V13" s="106"/>
      <c r="W13" s="106"/>
    </row>
    <row r="14" spans="1:23" x14ac:dyDescent="0.25">
      <c r="A14" s="104">
        <v>4.5</v>
      </c>
      <c r="B14" s="109">
        <f>A14^3*Sheet!$D$75/2*Sheet!$D$7^2/4*PI()*Sheet!$D$76/100</f>
        <v>114.08736133012157</v>
      </c>
      <c r="C14" s="109">
        <f>(Sheet!$D$41^4*Sheet!$D$32^2*Sheet!$F$25^2*(Sheet!$D$5*60*Stern!A14/(PI()*Sheet!$D$7))^2*Sheet!$D$13*0.001*Sheet!$D$11*2*Sheet!$F$35*Sheet!$D$43*PI())/(144*10^8*Sheet!$D$65)</f>
        <v>35.415674440814904</v>
      </c>
      <c r="D14" s="109">
        <f t="shared" si="0"/>
        <v>78.67168688930667</v>
      </c>
      <c r="E14" s="109">
        <f t="shared" si="4"/>
        <v>24</v>
      </c>
      <c r="F14" s="111">
        <f>(-Sheet!$D$29+SQRT(Sheet!$D$29^2+4*Sheet!$F$67*D14))/(2*Sheet!$F$67)</f>
        <v>3.2166245790880348</v>
      </c>
      <c r="G14" s="109">
        <f>F14^2*Sheet!$F$67</f>
        <v>1.4726969911937917</v>
      </c>
      <c r="H14" s="109">
        <f>F14*Sheet!$D$77</f>
        <v>5.7899242423584631</v>
      </c>
      <c r="I14" s="109">
        <f t="shared" si="1"/>
        <v>7.2626212335522551</v>
      </c>
      <c r="J14" s="109">
        <f t="shared" si="2"/>
        <v>71.409065655754418</v>
      </c>
      <c r="K14" s="109">
        <f t="shared" si="3"/>
        <v>67.666557450418139</v>
      </c>
      <c r="L14" s="104">
        <f>J14/(B14/Sheet!$D$76)</f>
        <v>28.166204538736565</v>
      </c>
      <c r="N14" s="130"/>
      <c r="U14" s="106"/>
      <c r="V14" s="106"/>
      <c r="W14" s="106"/>
    </row>
    <row r="15" spans="1:23" x14ac:dyDescent="0.25">
      <c r="A15" s="104">
        <v>5</v>
      </c>
      <c r="B15" s="109">
        <f>A15^3*Sheet!$D$75/2*Sheet!$D$7^2/4*PI()*Sheet!$D$76/100</f>
        <v>156.49843803857553</v>
      </c>
      <c r="C15" s="109">
        <f>(Sheet!$D$41^4*Sheet!$D$32^2*Sheet!$F$25^2*(Sheet!$D$5*60*Stern!A15/(PI()*Sheet!$D$7))^2*Sheet!$D$13*0.001*Sheet!$D$11*2*Sheet!$F$35*Sheet!$D$43*PI())/(144*10^8*Sheet!$D$65)</f>
        <v>43.723054865203572</v>
      </c>
      <c r="D15" s="109">
        <f t="shared" si="0"/>
        <v>112.77538317337195</v>
      </c>
      <c r="E15" s="109">
        <f t="shared" si="4"/>
        <v>24</v>
      </c>
      <c r="F15" s="111">
        <f>(-Sheet!$D$29+SQRT(Sheet!$D$29^2+4*Sheet!$F$67*D15))/(2*Sheet!$F$67)</f>
        <v>4.5748504567834933</v>
      </c>
      <c r="G15" s="109">
        <f>F15^2*Sheet!$F$67</f>
        <v>2.9789722105681471</v>
      </c>
      <c r="H15" s="109">
        <f>F15*Sheet!$D$77</f>
        <v>8.2347308222102882</v>
      </c>
      <c r="I15" s="109">
        <f t="shared" si="1"/>
        <v>11.213703032778435</v>
      </c>
      <c r="J15" s="109">
        <f t="shared" si="2"/>
        <v>101.56168014059351</v>
      </c>
      <c r="K15" s="109">
        <f t="shared" si="3"/>
        <v>70.158151313778589</v>
      </c>
      <c r="L15" s="104">
        <f>J15/(B15/Sheet!$D$76)</f>
        <v>29.203330484360325</v>
      </c>
      <c r="N15" s="130"/>
      <c r="U15" s="106"/>
      <c r="V15" s="106"/>
      <c r="W15" s="106"/>
    </row>
    <row r="16" spans="1:23" x14ac:dyDescent="0.25">
      <c r="A16" s="104">
        <v>5.5</v>
      </c>
      <c r="B16" s="109">
        <f>A16^3*Sheet!$D$75/2*Sheet!$D$7^2/4*PI()*Sheet!$D$76/100</f>
        <v>208.29942102934402</v>
      </c>
      <c r="C16" s="109">
        <f>(Sheet!$D$41^4*Sheet!$D$32^2*Sheet!$F$25^2*(Sheet!$D$5*60*Stern!A16/(PI()*Sheet!$D$7))^2*Sheet!$D$13*0.001*Sheet!$D$11*2*Sheet!$F$35*Sheet!$D$43*PI())/(144*10^8*Sheet!$D$65)</f>
        <v>52.904896386896326</v>
      </c>
      <c r="D16" s="109">
        <f t="shared" si="0"/>
        <v>155.39452464244769</v>
      </c>
      <c r="E16" s="109">
        <f t="shared" si="4"/>
        <v>24</v>
      </c>
      <c r="F16" s="111">
        <f>(-Sheet!$D$29+SQRT(Sheet!$D$29^2+4*Sheet!$F$67*D16))/(2*Sheet!$F$67)</f>
        <v>6.2435818696188941</v>
      </c>
      <c r="G16" s="109">
        <f>F16^2*Sheet!$F$67</f>
        <v>5.5485597715943449</v>
      </c>
      <c r="H16" s="109">
        <f>F16*Sheet!$D$77</f>
        <v>11.238447365314009</v>
      </c>
      <c r="I16" s="109">
        <f t="shared" si="1"/>
        <v>16.787007136908354</v>
      </c>
      <c r="J16" s="109">
        <f t="shared" si="2"/>
        <v>138.60751750553933</v>
      </c>
      <c r="K16" s="109">
        <f t="shared" si="3"/>
        <v>71.937773101032292</v>
      </c>
      <c r="L16" s="104">
        <f>J16/(B16/Sheet!$D$76)</f>
        <v>29.944098053304671</v>
      </c>
      <c r="N16" s="130"/>
      <c r="U16" s="106"/>
      <c r="V16" s="106"/>
      <c r="W16" s="106"/>
    </row>
    <row r="17" spans="1:23" x14ac:dyDescent="0.25">
      <c r="A17" s="104">
        <v>6</v>
      </c>
      <c r="B17" s="109">
        <f>A17^3*Sheet!$D$75/2*Sheet!$D$7^2/4*PI()*Sheet!$D$76/100</f>
        <v>270.42930093065854</v>
      </c>
      <c r="C17" s="109">
        <f>(Sheet!$D$41^4*Sheet!$D$32^2*Sheet!$F$25^2*(Sheet!$D$5*60*Stern!A17/(PI()*Sheet!$D$7))^2*Sheet!$D$13*0.001*Sheet!$D$11*2*Sheet!$F$35*Sheet!$D$43*PI())/(144*10^8*Sheet!$D$65)</f>
        <v>62.961199005893143</v>
      </c>
      <c r="D17" s="109">
        <f t="shared" si="0"/>
        <v>207.46810192476539</v>
      </c>
      <c r="E17" s="109">
        <f t="shared" si="4"/>
        <v>24</v>
      </c>
      <c r="F17" s="111">
        <f>(-Sheet!$D$29+SQRT(Sheet!$D$29^2+4*Sheet!$F$67*D17))/(2*Sheet!$F$67)</f>
        <v>8.2416653839954019</v>
      </c>
      <c r="G17" s="109">
        <f>F17^2*Sheet!$F$67</f>
        <v>9.6681327088757278</v>
      </c>
      <c r="H17" s="109">
        <f>F17*Sheet!$D$77</f>
        <v>14.834997691191724</v>
      </c>
      <c r="I17" s="109">
        <f t="shared" si="1"/>
        <v>24.503130400067452</v>
      </c>
      <c r="J17" s="109">
        <f t="shared" si="2"/>
        <v>182.96497152469794</v>
      </c>
      <c r="K17" s="109">
        <f t="shared" si="3"/>
        <v>73.14295031462143</v>
      </c>
      <c r="L17" s="104">
        <f>J17/(B17/Sheet!$D$76)</f>
        <v>30.445753068461176</v>
      </c>
      <c r="N17" s="130"/>
      <c r="U17" s="106"/>
      <c r="V17" s="106"/>
      <c r="W17" s="106"/>
    </row>
    <row r="18" spans="1:23" x14ac:dyDescent="0.25">
      <c r="A18" s="104">
        <v>6.5</v>
      </c>
      <c r="B18" s="109">
        <f>A18^3*Sheet!$D$75/2*Sheet!$D$7^2/4*PI()*Sheet!$D$76/100</f>
        <v>343.82706837075051</v>
      </c>
      <c r="C18" s="109">
        <f>(Sheet!$D$41^4*Sheet!$D$32^2*Sheet!$F$25^2*(Sheet!$D$5*60*Stern!A18/(PI()*Sheet!$D$7))^2*Sheet!$D$13*0.001*Sheet!$D$11*2*Sheet!$F$35*Sheet!$D$43*PI())/(144*10^8*Sheet!$D$65)</f>
        <v>73.891962722194037</v>
      </c>
      <c r="D18" s="109">
        <f t="shared" si="0"/>
        <v>269.93510564855649</v>
      </c>
      <c r="E18" s="109">
        <f t="shared" si="4"/>
        <v>24</v>
      </c>
      <c r="F18" s="111">
        <f>(-Sheet!$D$29+SQRT(Sheet!$D$29^2+4*Sheet!$F$67*D18))/(2*Sheet!$F$67)</f>
        <v>10.58305800569889</v>
      </c>
      <c r="G18" s="109">
        <f>F18^2*Sheet!$F$67</f>
        <v>15.941713511783117</v>
      </c>
      <c r="H18" s="109">
        <f>F18*Sheet!$D$77</f>
        <v>19.049504410258002</v>
      </c>
      <c r="I18" s="109">
        <f t="shared" si="1"/>
        <v>34.991217922041116</v>
      </c>
      <c r="J18" s="109">
        <f t="shared" si="2"/>
        <v>234.94388772651536</v>
      </c>
      <c r="K18" s="109">
        <f t="shared" si="3"/>
        <v>73.872424687311408</v>
      </c>
      <c r="L18" s="104">
        <f>J18/(B18/Sheet!$D$76)</f>
        <v>30.749396776093374</v>
      </c>
      <c r="N18" s="130"/>
      <c r="U18" s="106"/>
      <c r="V18" s="106"/>
      <c r="W18" s="106"/>
    </row>
    <row r="19" spans="1:23" x14ac:dyDescent="0.25">
      <c r="A19" s="104">
        <v>7</v>
      </c>
      <c r="B19" s="109">
        <f>A19^3*Sheet!$D$75/2*Sheet!$D$7^2/4*PI()*Sheet!$D$76/100</f>
        <v>429.43171397785125</v>
      </c>
      <c r="C19" s="109">
        <f>(Sheet!$D$41^4*Sheet!$D$32^2*Sheet!$F$25^2*(Sheet!$D$5*60*Stern!A19/(PI()*Sheet!$D$7))^2*Sheet!$D$13*0.001*Sheet!$D$11*2*Sheet!$F$35*Sheet!$D$43*PI())/(144*10^8*Sheet!$D$65)</f>
        <v>85.697187535799017</v>
      </c>
      <c r="D19" s="109">
        <f t="shared" si="0"/>
        <v>343.73452644205224</v>
      </c>
      <c r="E19" s="109">
        <f t="shared" si="4"/>
        <v>24</v>
      </c>
      <c r="F19" s="111">
        <f>(-Sheet!$D$29+SQRT(Sheet!$D$29^2+4*Sheet!$F$67*D19))/(2*Sheet!$F$67)</f>
        <v>13.276850219230283</v>
      </c>
      <c r="G19" s="109">
        <f>F19^2*Sheet!$F$67</f>
        <v>25.090121180525525</v>
      </c>
      <c r="H19" s="109">
        <f>F19*Sheet!$D$77</f>
        <v>23.898330394614511</v>
      </c>
      <c r="I19" s="109">
        <f t="shared" si="1"/>
        <v>48.988451575140033</v>
      </c>
      <c r="J19" s="109">
        <f t="shared" si="2"/>
        <v>294.74607486691218</v>
      </c>
      <c r="K19" s="109">
        <f t="shared" si="3"/>
        <v>74.201414308669683</v>
      </c>
      <c r="L19" s="104">
        <f>J19/(B19/Sheet!$D$76)</f>
        <v>30.886338705983746</v>
      </c>
      <c r="N19" s="130"/>
      <c r="U19" s="106"/>
      <c r="V19" s="106"/>
      <c r="W19" s="106"/>
    </row>
    <row r="20" spans="1:23" x14ac:dyDescent="0.25">
      <c r="A20" s="104">
        <v>7.5</v>
      </c>
      <c r="B20" s="109">
        <f>A20^3*Sheet!$D$75/2*Sheet!$D$7^2/4*PI()*Sheet!$D$76/100</f>
        <v>528.18222838019244</v>
      </c>
      <c r="C20" s="109">
        <f>(Sheet!$D$41^4*Sheet!$D$32^2*Sheet!$F$25^2*(Sheet!$D$5*60*Stern!A20/(PI()*Sheet!$D$7))^2*Sheet!$D$13*0.001*Sheet!$D$11*2*Sheet!$F$35*Sheet!$D$43*PI())/(144*10^8*Sheet!$D$65)</f>
        <v>98.376873446708018</v>
      </c>
      <c r="D20" s="109">
        <f t="shared" si="0"/>
        <v>429.80535493348441</v>
      </c>
      <c r="E20" s="109">
        <f t="shared" si="4"/>
        <v>24</v>
      </c>
      <c r="F20" s="111">
        <f>(-Sheet!$D$29+SQRT(Sheet!$D$29^2+4*Sheet!$F$67*D20))/(2*Sheet!$F$67)</f>
        <v>16.327520090692229</v>
      </c>
      <c r="G20" s="109">
        <f>F20^2*Sheet!$F$67</f>
        <v>37.944872756870879</v>
      </c>
      <c r="H20" s="109">
        <f>F20*Sheet!$D$77</f>
        <v>29.389536163246014</v>
      </c>
      <c r="I20" s="109">
        <f t="shared" si="1"/>
        <v>67.334408920116886</v>
      </c>
      <c r="J20" s="109">
        <f t="shared" si="2"/>
        <v>362.47094601336755</v>
      </c>
      <c r="K20" s="109">
        <f t="shared" si="3"/>
        <v>74.190395117676545</v>
      </c>
      <c r="L20" s="104">
        <f>J20/(B20/Sheet!$D$76)</f>
        <v>30.881751967732868</v>
      </c>
      <c r="N20" s="130"/>
      <c r="U20" s="106"/>
      <c r="V20" s="106"/>
      <c r="W20" s="106"/>
    </row>
    <row r="21" spans="1:23" x14ac:dyDescent="0.25">
      <c r="A21" s="104">
        <v>8</v>
      </c>
      <c r="B21" s="109">
        <f>A21^3*Sheet!$D$75/2*Sheet!$D$7^2/4*PI()*Sheet!$D$76/100</f>
        <v>641.01760220600545</v>
      </c>
      <c r="C21" s="109">
        <f>(Sheet!$D$41^4*Sheet!$D$32^2*Sheet!$F$25^2*(Sheet!$D$5*60*Stern!A21/(PI()*Sheet!$D$7))^2*Sheet!$D$13*0.001*Sheet!$D$11*2*Sheet!$F$35*Sheet!$D$43*PI())/(144*10^8*Sheet!$D$65)</f>
        <v>111.93102045492118</v>
      </c>
      <c r="D21" s="109">
        <f t="shared" si="0"/>
        <v>529.08658175108428</v>
      </c>
      <c r="E21" s="109">
        <f t="shared" si="4"/>
        <v>24</v>
      </c>
      <c r="F21" s="111">
        <f>(-Sheet!$D$29+SQRT(Sheet!$D$29^2+4*Sheet!$F$67*D21))/(2*Sheet!$F$67)</f>
        <v>19.735378725456826</v>
      </c>
      <c r="G21" s="109">
        <f>F21^2*Sheet!$F$67</f>
        <v>55.43749234012035</v>
      </c>
      <c r="H21" s="109">
        <f>F21*Sheet!$D$77</f>
        <v>35.523681705822291</v>
      </c>
      <c r="I21" s="109">
        <f t="shared" si="1"/>
        <v>90.961174045942641</v>
      </c>
      <c r="J21" s="109">
        <f t="shared" si="2"/>
        <v>438.12540770514164</v>
      </c>
      <c r="K21" s="109">
        <f t="shared" si="3"/>
        <v>73.890184572302275</v>
      </c>
      <c r="L21" s="104">
        <f>J21/(B21/Sheet!$D$76)</f>
        <v>30.75678932822083</v>
      </c>
      <c r="N21" s="130"/>
      <c r="U21" s="106"/>
      <c r="V21" s="106"/>
      <c r="W21" s="106"/>
    </row>
    <row r="22" spans="1:23" x14ac:dyDescent="0.25">
      <c r="A22" s="104">
        <v>8.5</v>
      </c>
      <c r="B22" s="109">
        <f>A22^3*Sheet!$D$75/2*Sheet!$D$7^2/4*PI()*Sheet!$D$76/100</f>
        <v>768.87682608352156</v>
      </c>
      <c r="C22" s="109">
        <f>(Sheet!$D$41^4*Sheet!$D$32^2*Sheet!$F$25^2*(Sheet!$D$5*60*Stern!A22/(PI()*Sheet!$D$7))^2*Sheet!$D$13*0.001*Sheet!$D$11*2*Sheet!$F$35*Sheet!$D$43*PI())/(144*10^8*Sheet!$D$65)</f>
        <v>126.35962856043837</v>
      </c>
      <c r="D22" s="109">
        <f t="shared" si="0"/>
        <v>642.51719752308315</v>
      </c>
      <c r="E22" s="109">
        <f t="shared" si="4"/>
        <v>24</v>
      </c>
      <c r="F22" s="111">
        <f>(-Sheet!$D$29+SQRT(Sheet!$D$29^2+4*Sheet!$F$67*D22))/(2*Sheet!$F$67)</f>
        <v>23.497149609962261</v>
      </c>
      <c r="G22" s="109">
        <f>F22^2*Sheet!$F$67</f>
        <v>78.585606883989158</v>
      </c>
      <c r="H22" s="109">
        <f>F22*Sheet!$D$77</f>
        <v>42.294869297932067</v>
      </c>
      <c r="I22" s="109">
        <f t="shared" si="1"/>
        <v>120.88047618192122</v>
      </c>
      <c r="J22" s="109">
        <f t="shared" si="2"/>
        <v>521.63672134116189</v>
      </c>
      <c r="K22" s="109">
        <f t="shared" si="3"/>
        <v>73.344854664384883</v>
      </c>
      <c r="L22" s="104">
        <f>J22/(B22/Sheet!$D$76)</f>
        <v>30.529795754050191</v>
      </c>
      <c r="N22" s="130"/>
      <c r="U22" s="106"/>
      <c r="V22" s="106"/>
      <c r="W22" s="106"/>
    </row>
    <row r="23" spans="1:23" x14ac:dyDescent="0.25">
      <c r="A23" s="104">
        <v>9</v>
      </c>
      <c r="B23" s="109">
        <f>A23^3*Sheet!$D$75/2*Sheet!$D$7^2/4*PI()*Sheet!$D$76/100</f>
        <v>912.69889064097254</v>
      </c>
      <c r="C23" s="109">
        <f>(Sheet!$D$41^4*Sheet!$D$32^2*Sheet!$F$25^2*(Sheet!$D$5*60*Stern!A23/(PI()*Sheet!$D$7))^2*Sheet!$D$13*0.001*Sheet!$D$11*2*Sheet!$F$35*Sheet!$D$43*PI())/(144*10^8*Sheet!$D$65)</f>
        <v>141.66269776325962</v>
      </c>
      <c r="D23" s="109">
        <f t="shared" si="0"/>
        <v>771.03619287771289</v>
      </c>
      <c r="E23" s="109">
        <f t="shared" si="4"/>
        <v>24</v>
      </c>
      <c r="F23" s="111">
        <f>(-Sheet!$D$29+SQRT(Sheet!$D$29^2+4*Sheet!$F$67*D23))/(2*Sheet!$F$67)</f>
        <v>27.606618407180338</v>
      </c>
      <c r="G23" s="109">
        <f>F23^2*Sheet!$F$67</f>
        <v>108.47735110538498</v>
      </c>
      <c r="H23" s="109">
        <f>F23*Sheet!$D$77</f>
        <v>49.691913132924611</v>
      </c>
      <c r="I23" s="109">
        <f t="shared" si="1"/>
        <v>158.16926423830961</v>
      </c>
      <c r="J23" s="109">
        <f t="shared" si="2"/>
        <v>612.86692863940334</v>
      </c>
      <c r="K23" s="109">
        <f t="shared" si="3"/>
        <v>72.59336551916094</v>
      </c>
      <c r="L23" s="104">
        <f>J23/(B23/Sheet!$D$76)</f>
        <v>30.216988397350729</v>
      </c>
      <c r="N23" s="130"/>
      <c r="U23" s="106"/>
      <c r="V23" s="106"/>
      <c r="W23" s="106"/>
    </row>
    <row r="24" spans="1:23" x14ac:dyDescent="0.25">
      <c r="A24" s="104">
        <v>9.5</v>
      </c>
      <c r="B24" s="109">
        <f>A24^3*Sheet!$D$75/2*Sheet!$D$7^2/4*PI()*Sheet!$D$76/100</f>
        <v>1073.4227865065895</v>
      </c>
      <c r="C24" s="109">
        <f>(Sheet!$D$41^4*Sheet!$D$32^2*Sheet!$F$25^2*(Sheet!$D$5*60*Stern!A24/(PI()*Sheet!$D$7))^2*Sheet!$D$13*0.001*Sheet!$D$11*2*Sheet!$F$35*Sheet!$D$43*PI())/(144*10^8*Sheet!$D$65)</f>
        <v>157.8402280633849</v>
      </c>
      <c r="D24" s="109">
        <f t="shared" si="0"/>
        <v>915.58255844320468</v>
      </c>
      <c r="E24" s="109">
        <f t="shared" si="4"/>
        <v>24</v>
      </c>
      <c r="F24" s="111">
        <f>(-Sheet!$D$29+SQRT(Sheet!$D$29^2+4*Sheet!$F$67*D24))/(2*Sheet!$F$67)</f>
        <v>32.055294387389168</v>
      </c>
      <c r="G24" s="109">
        <f>F24^2*Sheet!$F$67</f>
        <v>146.2554931458651</v>
      </c>
      <c r="H24" s="109">
        <f>F24*Sheet!$D$77</f>
        <v>57.699529897300501</v>
      </c>
      <c r="I24" s="109">
        <f t="shared" si="1"/>
        <v>203.9550230431656</v>
      </c>
      <c r="J24" s="109">
        <f t="shared" si="2"/>
        <v>711.62753540003905</v>
      </c>
      <c r="K24" s="109">
        <f t="shared" si="3"/>
        <v>71.670461533715297</v>
      </c>
      <c r="L24" s="104">
        <f>J24/(B24/Sheet!$D$76)</f>
        <v>29.832829613408968</v>
      </c>
      <c r="N24" s="130"/>
      <c r="U24" s="106"/>
      <c r="V24" s="106"/>
      <c r="W24" s="106"/>
    </row>
    <row r="25" spans="1:23" x14ac:dyDescent="0.25">
      <c r="A25" s="104">
        <v>10</v>
      </c>
      <c r="B25" s="109">
        <f>A25^3*Sheet!$D$75/2*Sheet!$D$7^2/4*PI()*Sheet!$D$76/100</f>
        <v>1251.9875043086042</v>
      </c>
      <c r="C25" s="109">
        <f>(Sheet!$D$41^4*Sheet!$D$32^2*Sheet!$F$25^2*(Sheet!$D$5*60*Stern!A25/(PI()*Sheet!$D$7))^2*Sheet!$D$13*0.001*Sheet!$D$11*2*Sheet!$F$35*Sheet!$D$43*PI())/(144*10^8*Sheet!$D$65)</f>
        <v>174.89221946081429</v>
      </c>
      <c r="D25" s="109">
        <f t="shared" si="0"/>
        <v>1077.09528484779</v>
      </c>
      <c r="E25" s="109">
        <f t="shared" si="4"/>
        <v>24</v>
      </c>
      <c r="F25" s="111">
        <f>(-Sheet!$D$29+SQRT(Sheet!$D$29^2+4*Sheet!$F$67*D25))/(2*Sheet!$F$67)</f>
        <v>36.833036467301795</v>
      </c>
      <c r="G25" s="109">
        <f>F25^2*Sheet!$F$67</f>
        <v>193.10240963254742</v>
      </c>
      <c r="H25" s="109">
        <f>F25*Sheet!$D$77</f>
        <v>66.299465641143229</v>
      </c>
      <c r="I25" s="109">
        <f t="shared" si="1"/>
        <v>259.40187527369062</v>
      </c>
      <c r="J25" s="109">
        <f t="shared" si="2"/>
        <v>817.69340957409941</v>
      </c>
      <c r="K25" s="109">
        <f t="shared" si="3"/>
        <v>70.607164382476654</v>
      </c>
      <c r="L25" s="104">
        <f>J25/(B25/Sheet!$D$76)</f>
        <v>29.390232174205888</v>
      </c>
      <c r="N25" s="130"/>
      <c r="U25" s="106"/>
      <c r="V25" s="106"/>
      <c r="W25" s="106"/>
    </row>
    <row r="26" spans="1:23" x14ac:dyDescent="0.25">
      <c r="A26" s="104">
        <v>10.5</v>
      </c>
      <c r="B26" s="109">
        <f>A26^3*Sheet!$D$75/2*Sheet!$D$7^2/4*PI()*Sheet!$D$76/100</f>
        <v>1449.3320346752482</v>
      </c>
      <c r="C26" s="109">
        <f>(Sheet!$D$41^4*Sheet!$D$32^2*Sheet!$F$25^2*(Sheet!$D$5*60*Stern!A26/(PI()*Sheet!$D$7))^2*Sheet!$D$13*0.001*Sheet!$D$11*2*Sheet!$F$35*Sheet!$D$43*PI())/(144*10^8*Sheet!$D$65)</f>
        <v>192.81867195554787</v>
      </c>
      <c r="D26" s="109">
        <f t="shared" si="0"/>
        <v>1256.5133627197004</v>
      </c>
      <c r="E26" s="109">
        <f t="shared" si="4"/>
        <v>24</v>
      </c>
      <c r="F26" s="111">
        <f>(-Sheet!$D$29+SQRT(Sheet!$D$29^2+4*Sheet!$F$67*D26))/(2*Sheet!$F$67)</f>
        <v>41.928611772355993</v>
      </c>
      <c r="G26" s="109">
        <f>F26^2*Sheet!$F$67</f>
        <v>250.2266801831565</v>
      </c>
      <c r="H26" s="109">
        <f>F26*Sheet!$D$77</f>
        <v>75.471501190240787</v>
      </c>
      <c r="I26" s="109">
        <f t="shared" si="1"/>
        <v>325.69818137339729</v>
      </c>
      <c r="J26" s="109">
        <f t="shared" si="2"/>
        <v>930.81518134630301</v>
      </c>
      <c r="K26" s="109">
        <f t="shared" si="3"/>
        <v>69.431066067757371</v>
      </c>
      <c r="L26" s="104">
        <f>J26/(B26/Sheet!$D$76)</f>
        <v>28.900681250704004</v>
      </c>
      <c r="N26" s="130"/>
      <c r="U26" s="106"/>
      <c r="V26" s="106"/>
      <c r="W26" s="106"/>
    </row>
    <row r="27" spans="1:23" x14ac:dyDescent="0.25">
      <c r="A27" s="104">
        <v>11</v>
      </c>
      <c r="B27" s="109">
        <f>A27^3*Sheet!$D$75/2*Sheet!$D$7^2/4*PI()*Sheet!$D$76/100</f>
        <v>1666.3953682347521</v>
      </c>
      <c r="C27" s="109">
        <f>(Sheet!$D$41^4*Sheet!$D$32^2*Sheet!$F$25^2*(Sheet!$D$5*60*Stern!A27/(PI()*Sheet!$D$7))^2*Sheet!$D$13*0.001*Sheet!$D$11*2*Sheet!$F$35*Sheet!$D$43*PI())/(144*10^8*Sheet!$D$65)</f>
        <v>211.6195855475853</v>
      </c>
      <c r="D27" s="109">
        <f t="shared" si="0"/>
        <v>1454.7757826871668</v>
      </c>
      <c r="E27" s="109">
        <f t="shared" si="4"/>
        <v>24</v>
      </c>
      <c r="F27" s="111">
        <f>(-Sheet!$D$29+SQRT(Sheet!$D$29^2+4*Sheet!$F$67*D27))/(2*Sheet!$F$67)</f>
        <v>47.330169306246958</v>
      </c>
      <c r="G27" s="109">
        <f>F27^2*Sheet!$F$67</f>
        <v>318.85171933723979</v>
      </c>
      <c r="H27" s="109">
        <f>F27*Sheet!$D$77</f>
        <v>85.19430475124453</v>
      </c>
      <c r="I27" s="109">
        <f t="shared" si="1"/>
        <v>404.04602408848433</v>
      </c>
      <c r="J27" s="109">
        <f t="shared" si="2"/>
        <v>1050.7297585986826</v>
      </c>
      <c r="K27" s="109">
        <f t="shared" si="3"/>
        <v>68.166539886223731</v>
      </c>
      <c r="L27" s="104">
        <f>J27/(B27/Sheet!$D$76)</f>
        <v>28.374322227640629</v>
      </c>
      <c r="N27" s="130"/>
      <c r="U27" s="106"/>
      <c r="V27" s="106"/>
      <c r="W27" s="106"/>
    </row>
    <row r="28" spans="1:23" x14ac:dyDescent="0.25">
      <c r="A28" s="104">
        <v>11.5</v>
      </c>
      <c r="B28" s="109">
        <f>A28^3*Sheet!$D$75/2*Sheet!$D$7^2/4*PI()*Sheet!$D$76/100</f>
        <v>1904.1164956153486</v>
      </c>
      <c r="C28" s="109">
        <f>(Sheet!$D$41^4*Sheet!$D$32^2*Sheet!$F$25^2*(Sheet!$D$5*60*Stern!A28/(PI()*Sheet!$D$7))^2*Sheet!$D$13*0.001*Sheet!$D$11*2*Sheet!$F$35*Sheet!$D$43*PI())/(144*10^8*Sheet!$D$65)</f>
        <v>231.2949602369269</v>
      </c>
      <c r="D28" s="109">
        <f t="shared" si="0"/>
        <v>1672.8215353784217</v>
      </c>
      <c r="E28" s="109">
        <f t="shared" si="4"/>
        <v>24</v>
      </c>
      <c r="F28" s="111">
        <f>(-Sheet!$D$29+SQRT(Sheet!$D$29^2+4*Sheet!$F$67*D28))/(2*Sheet!$F$67)</f>
        <v>53.025623513685268</v>
      </c>
      <c r="G28" s="109">
        <f>F28^2*Sheet!$F$67</f>
        <v>400.20657104997514</v>
      </c>
      <c r="H28" s="109">
        <f>F28*Sheet!$D$77</f>
        <v>95.446122324633478</v>
      </c>
      <c r="I28" s="109">
        <f t="shared" si="1"/>
        <v>495.65269337460859</v>
      </c>
      <c r="J28" s="109">
        <f t="shared" si="2"/>
        <v>1177.1688420038131</v>
      </c>
      <c r="K28" s="109">
        <f t="shared" si="3"/>
        <v>66.834931962352357</v>
      </c>
      <c r="L28" s="104">
        <f>J28/(B28/Sheet!$D$76)</f>
        <v>27.820040429329179</v>
      </c>
      <c r="N28" s="130"/>
      <c r="U28" s="106"/>
      <c r="V28" s="106"/>
      <c r="W28" s="106"/>
    </row>
    <row r="29" spans="1:23" x14ac:dyDescent="0.25">
      <c r="A29" s="104">
        <v>12</v>
      </c>
      <c r="B29" s="109">
        <f>A29^3*Sheet!$D$75/2*Sheet!$D$7^2/4*PI()*Sheet!$D$76/100</f>
        <v>2163.4344074452683</v>
      </c>
      <c r="C29" s="109">
        <f>(Sheet!$D$41^4*Sheet!$D$32^2*Sheet!$F$25^2*(Sheet!$D$5*60*Stern!A29/(PI()*Sheet!$D$7))^2*Sheet!$D$13*0.001*Sheet!$D$11*2*Sheet!$F$35*Sheet!$D$43*PI())/(144*10^8*Sheet!$D$65)</f>
        <v>251.84479602357257</v>
      </c>
      <c r="D29" s="109">
        <f t="shared" si="0"/>
        <v>1911.5896114216957</v>
      </c>
      <c r="E29" s="109">
        <f t="shared" si="4"/>
        <v>24</v>
      </c>
      <c r="F29" s="111">
        <f>(-Sheet!$D$29+SQRT(Sheet!$D$29^2+4*Sheet!$F$67*D29))/(2*Sheet!$F$67)</f>
        <v>59.002951327818202</v>
      </c>
      <c r="G29" s="109">
        <f>F29^2*Sheet!$F$67</f>
        <v>495.51877955405905</v>
      </c>
      <c r="H29" s="109">
        <f>F29*Sheet!$D$77</f>
        <v>106.20531239007276</v>
      </c>
      <c r="I29" s="109">
        <f t="shared" si="1"/>
        <v>601.72409194413183</v>
      </c>
      <c r="J29" s="109">
        <f>IF(I29&gt;0,D29-I29,0)</f>
        <v>1309.8655194775638</v>
      </c>
      <c r="K29" s="109">
        <f t="shared" si="3"/>
        <v>65.454761512267439</v>
      </c>
      <c r="L29" s="104">
        <f>J29/(B29/Sheet!$D$76)</f>
        <v>27.245544479481321</v>
      </c>
      <c r="N29" s="130"/>
      <c r="U29" s="106"/>
      <c r="V29" s="106"/>
      <c r="W29" s="106"/>
    </row>
    <row r="30" spans="1:23" x14ac:dyDescent="0.25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U30" s="106"/>
      <c r="V30" s="106"/>
      <c r="W30" s="106"/>
    </row>
    <row r="31" spans="1:23" x14ac:dyDescent="0.25">
      <c r="A31" s="1"/>
      <c r="C31" s="1"/>
      <c r="U31" s="106"/>
      <c r="V31" s="106"/>
      <c r="W31" s="106"/>
    </row>
    <row r="32" spans="1:23" x14ac:dyDescent="0.25">
      <c r="A32" s="1"/>
      <c r="C32" s="1"/>
    </row>
    <row r="33" spans="1:3" x14ac:dyDescent="0.25">
      <c r="A33" s="1"/>
      <c r="C33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F1" sqref="F1"/>
    </sheetView>
  </sheetViews>
  <sheetFormatPr baseColWidth="10" defaultRowHeight="13.2" x14ac:dyDescent="0.25"/>
  <cols>
    <col min="1" max="1" width="15.109375" customWidth="1"/>
    <col min="2" max="2" width="11.44140625" customWidth="1"/>
    <col min="3" max="3" width="18.109375" customWidth="1"/>
    <col min="4" max="4" width="10.6640625" customWidth="1"/>
    <col min="5" max="5" width="20.109375" customWidth="1"/>
    <col min="6" max="6" width="10" customWidth="1"/>
    <col min="7" max="7" width="11.44140625" customWidth="1"/>
    <col min="8" max="8" width="18.88671875" customWidth="1"/>
    <col min="9" max="9" width="15.6640625" customWidth="1"/>
    <col min="12" max="12" width="13.109375" customWidth="1"/>
  </cols>
  <sheetData>
    <row r="1" spans="1:23" ht="24.6" x14ac:dyDescent="0.4">
      <c r="A1" s="105" t="s">
        <v>126</v>
      </c>
    </row>
    <row r="3" spans="1:23" ht="15.6" x14ac:dyDescent="0.3">
      <c r="A3" s="112" t="s">
        <v>122</v>
      </c>
      <c r="B3" s="107" t="s">
        <v>117</v>
      </c>
      <c r="C3" s="107" t="s">
        <v>123</v>
      </c>
      <c r="D3" s="107" t="s">
        <v>129</v>
      </c>
      <c r="E3" s="107" t="s">
        <v>127</v>
      </c>
      <c r="F3" s="107" t="s">
        <v>85</v>
      </c>
      <c r="G3" s="107" t="s">
        <v>128</v>
      </c>
      <c r="H3" s="107" t="s">
        <v>130</v>
      </c>
      <c r="I3" s="107" t="s">
        <v>132</v>
      </c>
      <c r="J3" s="107" t="s">
        <v>131</v>
      </c>
      <c r="K3" s="107" t="s">
        <v>133</v>
      </c>
      <c r="L3" s="112" t="s">
        <v>135</v>
      </c>
    </row>
    <row r="4" spans="1:23" x14ac:dyDescent="0.25">
      <c r="A4" s="113" t="s">
        <v>120</v>
      </c>
      <c r="B4" s="108" t="s">
        <v>121</v>
      </c>
      <c r="C4" s="108" t="s">
        <v>121</v>
      </c>
      <c r="D4" s="108" t="s">
        <v>121</v>
      </c>
      <c r="E4" s="108" t="s">
        <v>124</v>
      </c>
      <c r="F4" s="108" t="s">
        <v>125</v>
      </c>
      <c r="G4" s="108" t="s">
        <v>121</v>
      </c>
      <c r="H4" s="108" t="s">
        <v>121</v>
      </c>
      <c r="I4" s="108" t="s">
        <v>121</v>
      </c>
      <c r="J4" s="108" t="s">
        <v>121</v>
      </c>
      <c r="K4" s="108" t="s">
        <v>134</v>
      </c>
      <c r="L4" s="113" t="s">
        <v>134</v>
      </c>
    </row>
    <row r="5" spans="1:23" ht="13.8" thickBot="1" x14ac:dyDescent="0.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4"/>
      <c r="U5" s="106"/>
      <c r="V5" s="106"/>
      <c r="W5" s="106"/>
    </row>
    <row r="6" spans="1:23" x14ac:dyDescent="0.25">
      <c r="B6" s="110"/>
      <c r="C6" s="110"/>
      <c r="D6" s="110"/>
      <c r="E6" s="110"/>
      <c r="F6" s="110"/>
      <c r="G6" s="110"/>
      <c r="H6" s="110"/>
      <c r="I6" s="110"/>
      <c r="J6" s="110"/>
      <c r="K6" s="110"/>
      <c r="U6" s="106"/>
      <c r="V6" s="106"/>
      <c r="W6" s="106"/>
    </row>
    <row r="7" spans="1:23" x14ac:dyDescent="0.25">
      <c r="A7" s="104">
        <v>1</v>
      </c>
      <c r="B7" s="109">
        <f>A7^3*Sheet!$D$75/2*Sheet!$D$7^2/4*PI()*Sheet!$D$76/100</f>
        <v>1.2519875043086044</v>
      </c>
      <c r="C7" s="109">
        <f>(Sheet!$D$41^4*Sheet!$D$32^2*Sheet!$F$25^2*(Sheet!$D$5*60*Dreieck!A7/(PI()*Sheet!$D$7))^2*Sheet!$D$13*0.001*Sheet!$D$11*2*Sheet!$F$37*Sheet!$D$43*PI())/(144*10^8*Sheet!$D$65)</f>
        <v>3.0296796157132211</v>
      </c>
      <c r="D7" s="109">
        <f>B7-C7</f>
        <v>-1.7776921114046167</v>
      </c>
      <c r="E7" s="109">
        <f>Sheet!D29</f>
        <v>24</v>
      </c>
      <c r="F7" s="111">
        <f>(-Sheet!$D$29+SQRT(Sheet!$D$29^2+4*Sheet!$F$69*D7))/(2*Sheet!$F$69)</f>
        <v>-7.4089302890239045E-2</v>
      </c>
      <c r="G7" s="109">
        <f>F7^2*Sheet!$F$69</f>
        <v>4.5115796098361673E-4</v>
      </c>
      <c r="H7" s="109">
        <f>F7*Sheet!$D$77</f>
        <v>-0.1333607452024303</v>
      </c>
      <c r="I7" s="109">
        <f>H7+G7</f>
        <v>-0.13290958724144669</v>
      </c>
      <c r="J7" s="109">
        <f>IF(I7&gt;0,D7-I7,0)</f>
        <v>0</v>
      </c>
      <c r="K7" s="109">
        <f>E7*F7/B7*100</f>
        <v>-142.02564029164941</v>
      </c>
      <c r="L7" s="104">
        <f>J7/(B7/Sheet!$D$76)</f>
        <v>0</v>
      </c>
      <c r="N7" s="130"/>
      <c r="U7" s="106"/>
      <c r="V7" s="106"/>
      <c r="W7" s="106"/>
    </row>
    <row r="8" spans="1:23" x14ac:dyDescent="0.25">
      <c r="A8" s="104">
        <v>1.5</v>
      </c>
      <c r="B8" s="109">
        <f>A8^3*Sheet!$D$75/2*Sheet!$D$7^2/4*PI()*Sheet!$D$76/100</f>
        <v>4.2254578270415397</v>
      </c>
      <c r="C8" s="109">
        <f>(Sheet!$D$41^4*Sheet!$D$32^2*Sheet!$F$25^2*(Sheet!$D$5*60*Dreieck!A8/(PI()*Sheet!$D$7))^2*Sheet!$D$13*0.001*Sheet!$D$11*2*Sheet!$F$37*Sheet!$D$43*PI())/(144*10^8*Sheet!$D$65)</f>
        <v>6.8167791353547438</v>
      </c>
      <c r="D8" s="109">
        <f t="shared" ref="D8:D29" si="0">B8-C8</f>
        <v>-2.5913213083132041</v>
      </c>
      <c r="E8" s="109">
        <f>E7</f>
        <v>24</v>
      </c>
      <c r="F8" s="111">
        <f>(-Sheet!$D$29+SQRT(Sheet!$D$29^2+4*Sheet!$F$69*D8))/(2*Sheet!$F$69)</f>
        <v>-0.10801167402933788</v>
      </c>
      <c r="G8" s="109">
        <f>F8^2*Sheet!$F$69</f>
        <v>9.5886839090738685E-4</v>
      </c>
      <c r="H8" s="109">
        <f>F8*Sheet!$D$77</f>
        <v>-0.19442101325280819</v>
      </c>
      <c r="I8" s="109">
        <f t="shared" ref="I8:I29" si="1">H8+G8</f>
        <v>-0.1934621448619008</v>
      </c>
      <c r="J8" s="109">
        <f t="shared" ref="J8:J28" si="2">IF(I8&gt;0,D8-I8,0)</f>
        <v>0</v>
      </c>
      <c r="K8" s="109">
        <f t="shared" ref="K8:K29" si="3">E8*F8/B8*100</f>
        <v>-61.349095951552734</v>
      </c>
      <c r="L8" s="104">
        <f>J8/(B8/Sheet!$D$76)</f>
        <v>0</v>
      </c>
      <c r="N8" s="130"/>
      <c r="U8" s="106"/>
      <c r="V8" s="106"/>
      <c r="W8" s="106"/>
    </row>
    <row r="9" spans="1:23" x14ac:dyDescent="0.25">
      <c r="A9" s="104">
        <v>2</v>
      </c>
      <c r="B9" s="109">
        <f>A9^3*Sheet!$D$75/2*Sheet!$D$7^2/4*PI()*Sheet!$D$76/100</f>
        <v>10.015900034468835</v>
      </c>
      <c r="C9" s="109">
        <f>(Sheet!$D$41^4*Sheet!$D$32^2*Sheet!$F$25^2*(Sheet!$D$5*60*Dreieck!A9/(PI()*Sheet!$D$7))^2*Sheet!$D$13*0.001*Sheet!$D$11*2*Sheet!$F$37*Sheet!$D$43*PI())/(144*10^8*Sheet!$D$65)</f>
        <v>12.118718462852884</v>
      </c>
      <c r="D9" s="109">
        <f t="shared" si="0"/>
        <v>-2.1028184283840492</v>
      </c>
      <c r="E9" s="109">
        <f t="shared" ref="E9:E29" si="4">E8</f>
        <v>24</v>
      </c>
      <c r="F9" s="111">
        <f>(-Sheet!$D$29+SQRT(Sheet!$D$29^2+4*Sheet!$F$69*D9))/(2*Sheet!$F$69)</f>
        <v>-8.7643740113533153E-2</v>
      </c>
      <c r="G9" s="109">
        <f>F9^2*Sheet!$F$69</f>
        <v>6.3133434076240278E-4</v>
      </c>
      <c r="H9" s="109">
        <f>F9*Sheet!$D$77</f>
        <v>-0.15775873220435968</v>
      </c>
      <c r="I9" s="109">
        <f t="shared" si="1"/>
        <v>-0.15712739786359728</v>
      </c>
      <c r="J9" s="109">
        <f t="shared" si="2"/>
        <v>0</v>
      </c>
      <c r="K9" s="109">
        <f t="shared" si="3"/>
        <v>-21.001105796642928</v>
      </c>
      <c r="L9" s="104">
        <f>J9/(B9/Sheet!$D$76)</f>
        <v>0</v>
      </c>
      <c r="N9" s="130"/>
      <c r="U9" s="106"/>
      <c r="V9" s="106"/>
      <c r="W9" s="106"/>
    </row>
    <row r="10" spans="1:23" x14ac:dyDescent="0.25">
      <c r="A10" s="104">
        <v>2.5</v>
      </c>
      <c r="B10" s="109">
        <f>A10^3*Sheet!$D$75/2*Sheet!$D$7^2/4*PI()*Sheet!$D$76/100</f>
        <v>19.562304754821941</v>
      </c>
      <c r="C10" s="109">
        <f>(Sheet!$D$41^4*Sheet!$D$32^2*Sheet!$F$25^2*(Sheet!$D$5*60*Dreieck!A10/(PI()*Sheet!$D$7))^2*Sheet!$D$13*0.001*Sheet!$D$11*2*Sheet!$F$37*Sheet!$D$43*PI())/(144*10^8*Sheet!$D$65)</f>
        <v>18.935497598207622</v>
      </c>
      <c r="D10" s="109">
        <f t="shared" si="0"/>
        <v>0.62680715661431918</v>
      </c>
      <c r="E10" s="109">
        <f t="shared" si="4"/>
        <v>24</v>
      </c>
      <c r="F10" s="111">
        <f>(-Sheet!$D$29+SQRT(Sheet!$D$29^2+4*Sheet!$F$69*D10))/(2*Sheet!$F$69)</f>
        <v>2.6114629389972093E-2</v>
      </c>
      <c r="G10" s="109">
        <f>F10^2*Sheet!$F$69</f>
        <v>5.6051255116281754E-5</v>
      </c>
      <c r="H10" s="109">
        <f>F10*Sheet!$D$77</f>
        <v>4.700633290194977E-2</v>
      </c>
      <c r="I10" s="109">
        <f t="shared" si="1"/>
        <v>4.7062384157066053E-2</v>
      </c>
      <c r="J10" s="109">
        <f t="shared" si="2"/>
        <v>0.57974477245725309</v>
      </c>
      <c r="K10" s="109">
        <f t="shared" si="3"/>
        <v>3.2038714927229699</v>
      </c>
      <c r="L10" s="104">
        <f>J10/(B10/Sheet!$D$76)</f>
        <v>1.3336115088456433</v>
      </c>
      <c r="N10" s="130"/>
      <c r="U10" s="106"/>
      <c r="V10" s="106"/>
      <c r="W10" s="106"/>
    </row>
    <row r="11" spans="1:23" x14ac:dyDescent="0.25">
      <c r="A11" s="104">
        <v>3</v>
      </c>
      <c r="B11" s="109">
        <f>A11^3*Sheet!$D$75/2*Sheet!$D$7^2/4*PI()*Sheet!$D$76/100</f>
        <v>33.803662616332318</v>
      </c>
      <c r="C11" s="109">
        <f>(Sheet!$D$41^4*Sheet!$D$32^2*Sheet!$F$25^2*(Sheet!$D$5*60*Dreieck!A11/(PI()*Sheet!$D$7))^2*Sheet!$D$13*0.001*Sheet!$D$11*2*Sheet!$F$37*Sheet!$D$43*PI())/(144*10^8*Sheet!$D$65)</f>
        <v>27.267116541418975</v>
      </c>
      <c r="D11" s="109">
        <f t="shared" si="0"/>
        <v>6.5365460749133426</v>
      </c>
      <c r="E11" s="109">
        <f t="shared" si="4"/>
        <v>24</v>
      </c>
      <c r="F11" s="111">
        <f>(-Sheet!$D$29+SQRT(Sheet!$D$29^2+4*Sheet!$F$69*D11))/(2*Sheet!$F$69)</f>
        <v>0.2721025318324905</v>
      </c>
      <c r="G11" s="109">
        <f>F11^2*Sheet!$F$69</f>
        <v>6.0853109335365684E-3</v>
      </c>
      <c r="H11" s="109">
        <f>F11*Sheet!$D$77</f>
        <v>0.48978455729848291</v>
      </c>
      <c r="I11" s="109">
        <f t="shared" si="1"/>
        <v>0.49586986823201951</v>
      </c>
      <c r="J11" s="109">
        <f t="shared" si="2"/>
        <v>6.0406762066813231</v>
      </c>
      <c r="K11" s="109">
        <f t="shared" si="3"/>
        <v>19.31879642185449</v>
      </c>
      <c r="L11" s="104">
        <f>J11/(B11/Sheet!$D$76)</f>
        <v>8.0414490105969776</v>
      </c>
      <c r="N11" s="130"/>
      <c r="U11" s="106"/>
      <c r="V11" s="106"/>
      <c r="W11" s="106"/>
    </row>
    <row r="12" spans="1:23" x14ac:dyDescent="0.25">
      <c r="A12" s="104">
        <v>3.5</v>
      </c>
      <c r="B12" s="109">
        <f>A12^3*Sheet!$D$75/2*Sheet!$D$7^2/4*PI()*Sheet!$D$76/100</f>
        <v>53.678964247231406</v>
      </c>
      <c r="C12" s="109">
        <f>(Sheet!$D$41^4*Sheet!$D$32^2*Sheet!$F$25^2*(Sheet!$D$5*60*Dreieck!A12/(PI()*Sheet!$D$7))^2*Sheet!$D$13*0.001*Sheet!$D$11*2*Sheet!$F$37*Sheet!$D$43*PI())/(144*10^8*Sheet!$D$65)</f>
        <v>37.113575292486949</v>
      </c>
      <c r="D12" s="109">
        <f t="shared" si="0"/>
        <v>16.565388954744456</v>
      </c>
      <c r="E12" s="109">
        <f t="shared" si="4"/>
        <v>24</v>
      </c>
      <c r="F12" s="111">
        <f>(-Sheet!$D$29+SQRT(Sheet!$D$29^2+4*Sheet!$F$69*D12))/(2*Sheet!$F$69)</f>
        <v>0.68860070703516418</v>
      </c>
      <c r="G12" s="109">
        <f>F12^2*Sheet!$F$69</f>
        <v>3.8971985900704394E-2</v>
      </c>
      <c r="H12" s="109">
        <f>F12*Sheet!$D$77</f>
        <v>1.2394812726632956</v>
      </c>
      <c r="I12" s="109">
        <f t="shared" si="1"/>
        <v>1.2784532585640001</v>
      </c>
      <c r="J12" s="109">
        <f t="shared" si="2"/>
        <v>15.286935696180457</v>
      </c>
      <c r="K12" s="109">
        <f t="shared" si="3"/>
        <v>30.787510900410712</v>
      </c>
      <c r="L12" s="104">
        <f>J12/(B12/Sheet!$D$76)</f>
        <v>12.815301412295803</v>
      </c>
      <c r="N12" s="130"/>
      <c r="U12" s="106"/>
      <c r="V12" s="106"/>
      <c r="W12" s="106"/>
    </row>
    <row r="13" spans="1:23" x14ac:dyDescent="0.25">
      <c r="A13" s="104">
        <v>4</v>
      </c>
      <c r="B13" s="109">
        <f>A13^3*Sheet!$D$75/2*Sheet!$D$7^2/4*PI()*Sheet!$D$76/100</f>
        <v>80.127200275750681</v>
      </c>
      <c r="C13" s="109">
        <f>(Sheet!$D$41^4*Sheet!$D$32^2*Sheet!$F$25^2*(Sheet!$D$5*60*Dreieck!A13/(PI()*Sheet!$D$7))^2*Sheet!$D$13*0.001*Sheet!$D$11*2*Sheet!$F$37*Sheet!$D$43*PI())/(144*10^8*Sheet!$D$65)</f>
        <v>48.474873851411537</v>
      </c>
      <c r="D13" s="109">
        <f t="shared" si="0"/>
        <v>31.652326424339144</v>
      </c>
      <c r="E13" s="109">
        <f t="shared" si="4"/>
        <v>24</v>
      </c>
      <c r="F13" s="111">
        <f>(-Sheet!$D$29+SQRT(Sheet!$D$29^2+4*Sheet!$F$69*D13))/(2*Sheet!$F$69)</f>
        <v>1.3129435848243853</v>
      </c>
      <c r="G13" s="109">
        <f>F13^2*Sheet!$F$69</f>
        <v>0.14168038855376952</v>
      </c>
      <c r="H13" s="109">
        <f>F13*Sheet!$D$77</f>
        <v>2.3632984526838938</v>
      </c>
      <c r="I13" s="109">
        <f t="shared" si="1"/>
        <v>2.5049788412376635</v>
      </c>
      <c r="J13" s="109">
        <f t="shared" si="2"/>
        <v>29.147347583101482</v>
      </c>
      <c r="K13" s="109">
        <f t="shared" si="3"/>
        <v>39.325779419902531</v>
      </c>
      <c r="L13" s="104">
        <f>J13/(B13/Sheet!$D$76)</f>
        <v>16.369355683534501</v>
      </c>
      <c r="N13" s="130"/>
      <c r="U13" s="106"/>
      <c r="V13" s="106"/>
      <c r="W13" s="106"/>
    </row>
    <row r="14" spans="1:23" x14ac:dyDescent="0.25">
      <c r="A14" s="104">
        <v>4.5</v>
      </c>
      <c r="B14" s="109">
        <f>A14^3*Sheet!$D$75/2*Sheet!$D$7^2/4*PI()*Sheet!$D$76/100</f>
        <v>114.08736133012157</v>
      </c>
      <c r="C14" s="109">
        <f>(Sheet!$D$41^4*Sheet!$D$32^2*Sheet!$F$25^2*(Sheet!$D$5*60*Dreieck!A14/(PI()*Sheet!$D$7))^2*Sheet!$D$13*0.001*Sheet!$D$11*2*Sheet!$F$37*Sheet!$D$43*PI())/(144*10^8*Sheet!$D$65)</f>
        <v>61.351012218192707</v>
      </c>
      <c r="D14" s="109">
        <f t="shared" si="0"/>
        <v>52.73634911192886</v>
      </c>
      <c r="E14" s="109">
        <f t="shared" si="4"/>
        <v>24</v>
      </c>
      <c r="F14" s="111">
        <f>(-Sheet!$D$29+SQRT(Sheet!$D$29^2+4*Sheet!$F$69*D14))/(2*Sheet!$F$69)</f>
        <v>2.1810571529338336</v>
      </c>
      <c r="G14" s="109">
        <f>F14^2*Sheet!$F$69</f>
        <v>0.39097744151690184</v>
      </c>
      <c r="H14" s="109">
        <f>F14*Sheet!$D$77</f>
        <v>3.9259028752809004</v>
      </c>
      <c r="I14" s="109">
        <f t="shared" si="1"/>
        <v>4.3168803167978025</v>
      </c>
      <c r="J14" s="109">
        <f t="shared" si="2"/>
        <v>48.41946879513106</v>
      </c>
      <c r="K14" s="109">
        <f t="shared" si="3"/>
        <v>45.881832185553122</v>
      </c>
      <c r="L14" s="104">
        <f>J14/(B14/Sheet!$D$76)</f>
        <v>19.098312647236469</v>
      </c>
      <c r="N14" s="130"/>
      <c r="U14" s="106"/>
      <c r="V14" s="106"/>
      <c r="W14" s="106"/>
    </row>
    <row r="15" spans="1:23" x14ac:dyDescent="0.25">
      <c r="A15" s="104">
        <v>5</v>
      </c>
      <c r="B15" s="109">
        <f>A15^3*Sheet!$D$75/2*Sheet!$D$7^2/4*PI()*Sheet!$D$76/100</f>
        <v>156.49843803857553</v>
      </c>
      <c r="C15" s="109">
        <f>(Sheet!$D$41^4*Sheet!$D$32^2*Sheet!$F$25^2*(Sheet!$D$5*60*Dreieck!A15/(PI()*Sheet!$D$7))^2*Sheet!$D$13*0.001*Sheet!$D$11*2*Sheet!$F$37*Sheet!$D$43*PI())/(144*10^8*Sheet!$D$65)</f>
        <v>75.741990392830488</v>
      </c>
      <c r="D15" s="109">
        <f t="shared" si="0"/>
        <v>80.756447645745041</v>
      </c>
      <c r="E15" s="109">
        <f t="shared" si="4"/>
        <v>24</v>
      </c>
      <c r="F15" s="111">
        <f>(-Sheet!$D$29+SQRT(Sheet!$D$29^2+4*Sheet!$F$69*D15))/(2*Sheet!$F$69)</f>
        <v>3.3269468464493595</v>
      </c>
      <c r="G15" s="109">
        <f>F15^2*Sheet!$F$69</f>
        <v>0.90972333096035074</v>
      </c>
      <c r="H15" s="109">
        <f>F15*Sheet!$D$77</f>
        <v>5.9885043236088471</v>
      </c>
      <c r="I15" s="109">
        <f t="shared" si="1"/>
        <v>6.8982276545691974</v>
      </c>
      <c r="J15" s="109">
        <f t="shared" si="2"/>
        <v>73.858219991175844</v>
      </c>
      <c r="K15" s="109">
        <f t="shared" si="3"/>
        <v>51.020780344851168</v>
      </c>
      <c r="L15" s="104">
        <f>J15/(B15/Sheet!$D$76)</f>
        <v>21.237399818544318</v>
      </c>
      <c r="N15" s="130"/>
      <c r="U15" s="106"/>
      <c r="V15" s="106"/>
      <c r="W15" s="106"/>
    </row>
    <row r="16" spans="1:23" x14ac:dyDescent="0.25">
      <c r="A16" s="104">
        <v>5.5</v>
      </c>
      <c r="B16" s="109">
        <f>A16^3*Sheet!$D$75/2*Sheet!$D$7^2/4*PI()*Sheet!$D$76/100</f>
        <v>208.29942102934402</v>
      </c>
      <c r="C16" s="109">
        <f>(Sheet!$D$41^4*Sheet!$D$32^2*Sheet!$F$25^2*(Sheet!$D$5*60*Dreieck!A16/(PI()*Sheet!$D$7))^2*Sheet!$D$13*0.001*Sheet!$D$11*2*Sheet!$F$37*Sheet!$D$43*PI())/(144*10^8*Sheet!$D$65)</f>
        <v>91.6478083753249</v>
      </c>
      <c r="D16" s="109">
        <f t="shared" si="0"/>
        <v>116.65161265401912</v>
      </c>
      <c r="E16" s="109">
        <f t="shared" si="4"/>
        <v>24</v>
      </c>
      <c r="F16" s="111">
        <f>(-Sheet!$D$29+SQRT(Sheet!$D$29^2+4*Sheet!$F$69*D16))/(2*Sheet!$F$69)</f>
        <v>4.7821668999604716</v>
      </c>
      <c r="G16" s="109">
        <f>F16^2*Sheet!$F$69</f>
        <v>1.8796070549677353</v>
      </c>
      <c r="H16" s="109">
        <f>F16*Sheet!$D$77</f>
        <v>8.6079004199288498</v>
      </c>
      <c r="I16" s="109">
        <f t="shared" si="1"/>
        <v>10.487507474896585</v>
      </c>
      <c r="J16" s="109">
        <f t="shared" si="2"/>
        <v>106.16410517912253</v>
      </c>
      <c r="K16" s="109">
        <f t="shared" si="3"/>
        <v>55.09953173748039</v>
      </c>
      <c r="L16" s="104">
        <f>J16/(B16/Sheet!$D$76)</f>
        <v>22.935180085726227</v>
      </c>
      <c r="N16" s="130"/>
      <c r="U16" s="106"/>
      <c r="V16" s="106"/>
      <c r="W16" s="106"/>
    </row>
    <row r="17" spans="1:23" x14ac:dyDescent="0.25">
      <c r="A17" s="104">
        <v>6</v>
      </c>
      <c r="B17" s="109">
        <f>A17^3*Sheet!$D$75/2*Sheet!$D$7^2/4*PI()*Sheet!$D$76/100</f>
        <v>270.42930093065854</v>
      </c>
      <c r="C17" s="109">
        <f>(Sheet!$D$41^4*Sheet!$D$32^2*Sheet!$F$25^2*(Sheet!$D$5*60*Dreieck!A17/(PI()*Sheet!$D$7))^2*Sheet!$D$13*0.001*Sheet!$D$11*2*Sheet!$F$37*Sheet!$D$43*PI())/(144*10^8*Sheet!$D$65)</f>
        <v>109.0684661656759</v>
      </c>
      <c r="D17" s="109">
        <f t="shared" si="0"/>
        <v>161.36083476498266</v>
      </c>
      <c r="E17" s="109">
        <f t="shared" si="4"/>
        <v>24</v>
      </c>
      <c r="F17" s="111">
        <f>(-Sheet!$D$29+SQRT(Sheet!$D$29^2+4*Sheet!$F$69*D17))/(2*Sheet!$F$69)</f>
        <v>6.575307841734686</v>
      </c>
      <c r="G17" s="109">
        <f>F17^2*Sheet!$F$69</f>
        <v>3.5534465633503558</v>
      </c>
      <c r="H17" s="109">
        <f>F17*Sheet!$D$77</f>
        <v>11.835554115122434</v>
      </c>
      <c r="I17" s="109">
        <f t="shared" si="1"/>
        <v>15.38900067847279</v>
      </c>
      <c r="J17" s="109">
        <f t="shared" si="2"/>
        <v>145.97183408650986</v>
      </c>
      <c r="K17" s="109">
        <f t="shared" si="3"/>
        <v>58.3543971228533</v>
      </c>
      <c r="L17" s="104">
        <f>J17/(B17/Sheet!$D$76)</f>
        <v>24.290017802387652</v>
      </c>
      <c r="N17" s="130"/>
      <c r="U17" s="106"/>
      <c r="V17" s="106"/>
      <c r="W17" s="106"/>
    </row>
    <row r="18" spans="1:23" x14ac:dyDescent="0.25">
      <c r="A18" s="104">
        <v>6.5</v>
      </c>
      <c r="B18" s="109">
        <f>A18^3*Sheet!$D$75/2*Sheet!$D$7^2/4*PI()*Sheet!$D$76/100</f>
        <v>343.82706837075051</v>
      </c>
      <c r="C18" s="109">
        <f>(Sheet!$D$41^4*Sheet!$D$32^2*Sheet!$F$25^2*(Sheet!$D$5*60*Dreieck!A18/(PI()*Sheet!$D$7))^2*Sheet!$D$13*0.001*Sheet!$D$11*2*Sheet!$F$37*Sheet!$D$43*PI())/(144*10^8*Sheet!$D$65)</f>
        <v>128.00396376388352</v>
      </c>
      <c r="D18" s="109">
        <f t="shared" si="0"/>
        <v>215.82310460686699</v>
      </c>
      <c r="E18" s="109">
        <f t="shared" si="4"/>
        <v>24</v>
      </c>
      <c r="F18" s="111">
        <f>(-Sheet!$D$29+SQRT(Sheet!$D$29^2+4*Sheet!$F$69*D18))/(2*Sheet!$F$69)</f>
        <v>8.7315406291603672</v>
      </c>
      <c r="G18" s="109">
        <f>F18^2*Sheet!$F$69</f>
        <v>6.2661295070181833</v>
      </c>
      <c r="H18" s="109">
        <f>F18*Sheet!$D$77</f>
        <v>15.716773132488662</v>
      </c>
      <c r="I18" s="109">
        <f t="shared" si="1"/>
        <v>21.982902639506847</v>
      </c>
      <c r="J18" s="109">
        <f t="shared" si="2"/>
        <v>193.84020196736014</v>
      </c>
      <c r="K18" s="109">
        <f t="shared" si="3"/>
        <v>60.948364563863379</v>
      </c>
      <c r="L18" s="104">
        <f>J18/(B18/Sheet!$D$76)</f>
        <v>25.369756749708131</v>
      </c>
      <c r="N18" s="130"/>
      <c r="U18" s="106"/>
      <c r="V18" s="106"/>
      <c r="W18" s="106"/>
    </row>
    <row r="19" spans="1:23" x14ac:dyDescent="0.25">
      <c r="A19" s="104">
        <v>7</v>
      </c>
      <c r="B19" s="109">
        <f>A19^3*Sheet!$D$75/2*Sheet!$D$7^2/4*PI()*Sheet!$D$76/100</f>
        <v>429.43171397785125</v>
      </c>
      <c r="C19" s="109">
        <f>(Sheet!$D$41^4*Sheet!$D$32^2*Sheet!$F$25^2*(Sheet!$D$5*60*Dreieck!A19/(PI()*Sheet!$D$7))^2*Sheet!$D$13*0.001*Sheet!$D$11*2*Sheet!$F$37*Sheet!$D$43*PI())/(144*10^8*Sheet!$D$65)</f>
        <v>148.4543011699478</v>
      </c>
      <c r="D19" s="109">
        <f t="shared" si="0"/>
        <v>280.97741280790342</v>
      </c>
      <c r="E19" s="109">
        <f t="shared" si="4"/>
        <v>24</v>
      </c>
      <c r="F19" s="111">
        <f>(-Sheet!$D$29+SQRT(Sheet!$D$29^2+4*Sheet!$F$69*D19))/(2*Sheet!$F$69)</f>
        <v>11.272253360295508</v>
      </c>
      <c r="G19" s="109">
        <f>F19^2*Sheet!$F$69</f>
        <v>10.443332160811501</v>
      </c>
      <c r="H19" s="109">
        <f>F19*Sheet!$D$77</f>
        <v>20.290056048531916</v>
      </c>
      <c r="I19" s="109">
        <f t="shared" si="1"/>
        <v>30.733388209343417</v>
      </c>
      <c r="J19" s="109">
        <f t="shared" si="2"/>
        <v>250.24402459856</v>
      </c>
      <c r="K19" s="109">
        <f t="shared" si="3"/>
        <v>62.998160555288074</v>
      </c>
      <c r="L19" s="104">
        <f>J19/(B19/Sheet!$D$76)</f>
        <v>26.222984331138633</v>
      </c>
      <c r="N19" s="130"/>
      <c r="U19" s="106"/>
      <c r="V19" s="106"/>
      <c r="W19" s="106"/>
    </row>
    <row r="20" spans="1:23" x14ac:dyDescent="0.25">
      <c r="A20" s="104">
        <v>7.5</v>
      </c>
      <c r="B20" s="109">
        <f>A20^3*Sheet!$D$75/2*Sheet!$D$7^2/4*PI()*Sheet!$D$76/100</f>
        <v>528.18222838019244</v>
      </c>
      <c r="C20" s="109">
        <f>(Sheet!$D$41^4*Sheet!$D$32^2*Sheet!$F$25^2*(Sheet!$D$5*60*Dreieck!A20/(PI()*Sheet!$D$7))^2*Sheet!$D$13*0.001*Sheet!$D$11*2*Sheet!$F$37*Sheet!$D$43*PI())/(144*10^8*Sheet!$D$65)</f>
        <v>170.41947838386858</v>
      </c>
      <c r="D20" s="109">
        <f t="shared" si="0"/>
        <v>357.76274999632386</v>
      </c>
      <c r="E20" s="109">
        <f t="shared" si="4"/>
        <v>24</v>
      </c>
      <c r="F20" s="111">
        <f>(-Sheet!$D$29+SQRT(Sheet!$D$29^2+4*Sheet!$F$69*D20))/(2*Sheet!$F$69)</f>
        <v>14.214809369762046</v>
      </c>
      <c r="G20" s="109">
        <f>F20^2*Sheet!$F$69</f>
        <v>16.607325122034382</v>
      </c>
      <c r="H20" s="109">
        <f>F20*Sheet!$D$77</f>
        <v>25.586656865571683</v>
      </c>
      <c r="I20" s="109">
        <f t="shared" si="1"/>
        <v>42.193981987606065</v>
      </c>
      <c r="J20" s="109">
        <f t="shared" si="2"/>
        <v>315.56876800871783</v>
      </c>
      <c r="K20" s="109">
        <f t="shared" si="3"/>
        <v>64.590477782739981</v>
      </c>
      <c r="L20" s="104">
        <f>J20/(B20/Sheet!$D$76)</f>
        <v>26.885786377065546</v>
      </c>
      <c r="N20" s="130"/>
      <c r="U20" s="106"/>
      <c r="V20" s="106"/>
      <c r="W20" s="106"/>
    </row>
    <row r="21" spans="1:23" x14ac:dyDescent="0.25">
      <c r="A21" s="104">
        <v>8</v>
      </c>
      <c r="B21" s="109">
        <f>A21^3*Sheet!$D$75/2*Sheet!$D$7^2/4*PI()*Sheet!$D$76/100</f>
        <v>641.01760220600545</v>
      </c>
      <c r="C21" s="109">
        <f>(Sheet!$D$41^4*Sheet!$D$32^2*Sheet!$F$25^2*(Sheet!$D$5*60*Dreieck!A21/(PI()*Sheet!$D$7))^2*Sheet!$D$13*0.001*Sheet!$D$11*2*Sheet!$F$37*Sheet!$D$43*PI())/(144*10^8*Sheet!$D$65)</f>
        <v>193.89949540564615</v>
      </c>
      <c r="D21" s="109">
        <f t="shared" si="0"/>
        <v>447.11810680035933</v>
      </c>
      <c r="E21" s="109">
        <f t="shared" si="4"/>
        <v>24</v>
      </c>
      <c r="F21" s="111">
        <f>(-Sheet!$D$29+SQRT(Sheet!$D$29^2+4*Sheet!$F$69*D21))/(2*Sheet!$F$69)</f>
        <v>17.572444599395347</v>
      </c>
      <c r="G21" s="109">
        <f>F21^2*Sheet!$F$69</f>
        <v>25.379436414870938</v>
      </c>
      <c r="H21" s="109">
        <f>F21*Sheet!$D$77</f>
        <v>31.630400278911626</v>
      </c>
      <c r="I21" s="109">
        <f t="shared" si="1"/>
        <v>57.00983669378256</v>
      </c>
      <c r="J21" s="109">
        <f t="shared" si="2"/>
        <v>390.10827010657675</v>
      </c>
      <c r="K21" s="109">
        <f t="shared" si="3"/>
        <v>65.792057649292616</v>
      </c>
      <c r="L21" s="104">
        <f>J21/(B21/Sheet!$D$76)</f>
        <v>27.385943996518055</v>
      </c>
      <c r="N21" s="130"/>
      <c r="U21" s="106"/>
      <c r="V21" s="106"/>
      <c r="W21" s="106"/>
    </row>
    <row r="22" spans="1:23" x14ac:dyDescent="0.25">
      <c r="A22" s="104">
        <v>8.5</v>
      </c>
      <c r="B22" s="109">
        <f>A22^3*Sheet!$D$75/2*Sheet!$D$7^2/4*PI()*Sheet!$D$76/100</f>
        <v>768.87682608352156</v>
      </c>
      <c r="C22" s="109">
        <f>(Sheet!$D$41^4*Sheet!$D$32^2*Sheet!$F$25^2*(Sheet!$D$5*60*Dreieck!A22/(PI()*Sheet!$D$7))^2*Sheet!$D$13*0.001*Sheet!$D$11*2*Sheet!$F$37*Sheet!$D$43*PI())/(144*10^8*Sheet!$D$65)</f>
        <v>218.89435223528017</v>
      </c>
      <c r="D22" s="109">
        <f t="shared" si="0"/>
        <v>549.9824738482414</v>
      </c>
      <c r="E22" s="109">
        <f t="shared" si="4"/>
        <v>24</v>
      </c>
      <c r="F22" s="111">
        <f>(-Sheet!$D$29+SQRT(Sheet!$D$29^2+4*Sheet!$F$69*D22))/(2*Sheet!$F$69)</f>
        <v>21.354309035654385</v>
      </c>
      <c r="G22" s="109">
        <f>F22^2*Sheet!$F$69</f>
        <v>37.479056992535838</v>
      </c>
      <c r="H22" s="109">
        <f>F22*Sheet!$D$77</f>
        <v>38.437756264177892</v>
      </c>
      <c r="I22" s="109">
        <f t="shared" si="1"/>
        <v>75.916813256713738</v>
      </c>
      <c r="J22" s="109">
        <f t="shared" si="2"/>
        <v>474.06566059152766</v>
      </c>
      <c r="K22" s="109">
        <f t="shared" si="3"/>
        <v>66.656114408633897</v>
      </c>
      <c r="L22" s="104">
        <f>J22/(B22/Sheet!$D$76)</f>
        <v>27.74560762259388</v>
      </c>
      <c r="N22" s="130"/>
      <c r="U22" s="106"/>
      <c r="V22" s="106"/>
      <c r="W22" s="106"/>
    </row>
    <row r="23" spans="1:23" x14ac:dyDescent="0.25">
      <c r="A23" s="104">
        <v>9</v>
      </c>
      <c r="B23" s="109">
        <f>A23^3*Sheet!$D$75/2*Sheet!$D$7^2/4*PI()*Sheet!$D$76/100</f>
        <v>912.69889064097254</v>
      </c>
      <c r="C23" s="109">
        <f>(Sheet!$D$41^4*Sheet!$D$32^2*Sheet!$F$25^2*(Sheet!$D$5*60*Dreieck!A23/(PI()*Sheet!$D$7))^2*Sheet!$D$13*0.001*Sheet!$D$11*2*Sheet!$F$37*Sheet!$D$43*PI())/(144*10^8*Sheet!$D$65)</f>
        <v>245.40404887277083</v>
      </c>
      <c r="D23" s="109">
        <f t="shared" si="0"/>
        <v>667.29484176820165</v>
      </c>
      <c r="E23" s="109">
        <f t="shared" si="4"/>
        <v>24</v>
      </c>
      <c r="F23" s="111">
        <f>(-Sheet!$D$29+SQRT(Sheet!$D$29^2+4*Sheet!$F$69*D23))/(2*Sheet!$F$69)</f>
        <v>25.565643806505399</v>
      </c>
      <c r="G23" s="109">
        <f>F23^2*Sheet!$F$69</f>
        <v>53.719390412072293</v>
      </c>
      <c r="H23" s="109">
        <f>F23*Sheet!$D$77</f>
        <v>46.018158851709721</v>
      </c>
      <c r="I23" s="109">
        <f t="shared" si="1"/>
        <v>99.737549263782014</v>
      </c>
      <c r="J23" s="109">
        <f>IF(I23&gt;0,D23-I23,0)</f>
        <v>567.55729250441959</v>
      </c>
      <c r="K23" s="109">
        <f t="shared" si="3"/>
        <v>67.226492510057327</v>
      </c>
      <c r="L23" s="104">
        <f>J23/(B23/Sheet!$D$76)</f>
        <v>27.983027507311341</v>
      </c>
      <c r="N23" s="130"/>
      <c r="U23" s="106"/>
      <c r="V23" s="106"/>
      <c r="W23" s="106"/>
    </row>
    <row r="24" spans="1:23" x14ac:dyDescent="0.25">
      <c r="A24" s="104">
        <v>9.5</v>
      </c>
      <c r="B24" s="109">
        <f>A24^3*Sheet!$D$75/2*Sheet!$D$7^2/4*PI()*Sheet!$D$76/100</f>
        <v>1073.4227865065895</v>
      </c>
      <c r="C24" s="109">
        <f>(Sheet!$D$41^4*Sheet!$D$32^2*Sheet!$F$25^2*(Sheet!$D$5*60*Dreieck!A24/(PI()*Sheet!$D$7))^2*Sheet!$D$13*0.001*Sheet!$D$11*2*Sheet!$F$37*Sheet!$D$43*PI())/(144*10^8*Sheet!$D$65)</f>
        <v>273.42858531811811</v>
      </c>
      <c r="D24" s="109">
        <f t="shared" si="0"/>
        <v>799.99420118847138</v>
      </c>
      <c r="E24" s="109">
        <f t="shared" si="4"/>
        <v>24</v>
      </c>
      <c r="F24" s="111">
        <f>(-Sheet!$D$29+SQRT(Sheet!$D$29^2+4*Sheet!$F$69*D24))/(2*Sheet!$F$69)</f>
        <v>30.208074264112987</v>
      </c>
      <c r="G24" s="109">
        <f>F24^2*Sheet!$F$69</f>
        <v>75.000418849759285</v>
      </c>
      <c r="H24" s="109">
        <f>F24*Sheet!$D$77</f>
        <v>54.374533675403377</v>
      </c>
      <c r="I24" s="109">
        <f t="shared" si="1"/>
        <v>129.37495252516266</v>
      </c>
      <c r="J24" s="109">
        <f t="shared" si="2"/>
        <v>670.61924866330878</v>
      </c>
      <c r="K24" s="109">
        <f t="shared" si="3"/>
        <v>67.540375651813235</v>
      </c>
      <c r="L24" s="104">
        <f>J24/(B24/Sheet!$D$76)</f>
        <v>28.113681365067276</v>
      </c>
      <c r="N24" s="130"/>
      <c r="U24" s="106"/>
      <c r="V24" s="106"/>
      <c r="W24" s="106"/>
    </row>
    <row r="25" spans="1:23" x14ac:dyDescent="0.25">
      <c r="A25" s="104">
        <v>10</v>
      </c>
      <c r="B25" s="109">
        <f>A25^3*Sheet!$D$75/2*Sheet!$D$7^2/4*PI()*Sheet!$D$76/100</f>
        <v>1251.9875043086042</v>
      </c>
      <c r="C25" s="109">
        <f>(Sheet!$D$41^4*Sheet!$D$32^2*Sheet!$F$25^2*(Sheet!$D$5*60*Dreieck!A25/(PI()*Sheet!$D$7))^2*Sheet!$D$13*0.001*Sheet!$D$11*2*Sheet!$F$37*Sheet!$D$43*PI())/(144*10^8*Sheet!$D$65)</f>
        <v>302.96796157132195</v>
      </c>
      <c r="D25" s="109">
        <f t="shared" si="0"/>
        <v>949.01954273728234</v>
      </c>
      <c r="E25" s="109">
        <f t="shared" si="4"/>
        <v>24</v>
      </c>
      <c r="F25" s="111">
        <f>(-Sheet!$D$29+SQRT(Sheet!$D$29^2+4*Sheet!$F$69*D25))/(2*Sheet!$F$69)</f>
        <v>35.279991552994829</v>
      </c>
      <c r="G25" s="109">
        <f>F25^2*Sheet!$F$69</f>
        <v>102.29974546540643</v>
      </c>
      <c r="H25" s="109">
        <f>F25*Sheet!$D$77</f>
        <v>63.503984795390693</v>
      </c>
      <c r="I25" s="109">
        <f t="shared" si="1"/>
        <v>165.80373026079712</v>
      </c>
      <c r="J25" s="109">
        <f t="shared" si="2"/>
        <v>783.21581247648521</v>
      </c>
      <c r="K25" s="109">
        <f t="shared" si="3"/>
        <v>67.630051766328705</v>
      </c>
      <c r="L25" s="104">
        <f>J25/(B25/Sheet!$D$76)</f>
        <v>28.151009047734327</v>
      </c>
      <c r="N25" s="130"/>
      <c r="U25" s="106"/>
      <c r="V25" s="106"/>
      <c r="W25" s="106"/>
    </row>
    <row r="26" spans="1:23" x14ac:dyDescent="0.25">
      <c r="A26" s="104">
        <v>10.5</v>
      </c>
      <c r="B26" s="109">
        <f>A26^3*Sheet!$D$75/2*Sheet!$D$7^2/4*PI()*Sheet!$D$76/100</f>
        <v>1449.3320346752482</v>
      </c>
      <c r="C26" s="109">
        <f>(Sheet!$D$41^4*Sheet!$D$32^2*Sheet!$F$25^2*(Sheet!$D$5*60*Dreieck!A26/(PI()*Sheet!$D$7))^2*Sheet!$D$13*0.001*Sheet!$D$11*2*Sheet!$F$37*Sheet!$D$43*PI())/(144*10^8*Sheet!$D$65)</f>
        <v>334.02217763238264</v>
      </c>
      <c r="D26" s="109">
        <f t="shared" si="0"/>
        <v>1115.3098570428656</v>
      </c>
      <c r="E26" s="109">
        <f t="shared" si="4"/>
        <v>24</v>
      </c>
      <c r="F26" s="111">
        <f>(-Sheet!$D$29+SQRT(Sheet!$D$29^2+4*Sheet!$F$69*D26))/(2*Sheet!$F$69)</f>
        <v>40.776991465862238</v>
      </c>
      <c r="G26" s="109">
        <f>F26^2*Sheet!$F$69</f>
        <v>136.66206186217215</v>
      </c>
      <c r="H26" s="109">
        <f>F26*Sheet!$D$77</f>
        <v>73.398584638552038</v>
      </c>
      <c r="I26" s="109">
        <f t="shared" si="1"/>
        <v>210.0606465007242</v>
      </c>
      <c r="J26" s="109">
        <f t="shared" si="2"/>
        <v>905.24921054214133</v>
      </c>
      <c r="K26" s="109">
        <f t="shared" si="3"/>
        <v>67.524057411728933</v>
      </c>
      <c r="L26" s="104">
        <f>J26/(B26/Sheet!$D$76)</f>
        <v>28.106888897632157</v>
      </c>
      <c r="N26" s="130"/>
      <c r="U26" s="106"/>
      <c r="V26" s="106"/>
      <c r="W26" s="106"/>
    </row>
    <row r="27" spans="1:23" x14ac:dyDescent="0.25">
      <c r="A27" s="104">
        <v>11</v>
      </c>
      <c r="B27" s="109">
        <f>A27^3*Sheet!$D$75/2*Sheet!$D$7^2/4*PI()*Sheet!$D$76/100</f>
        <v>1666.3953682347521</v>
      </c>
      <c r="C27" s="109">
        <f>(Sheet!$D$41^4*Sheet!$D$32^2*Sheet!$F$25^2*(Sheet!$D$5*60*Dreieck!A27/(PI()*Sheet!$D$7))^2*Sheet!$D$13*0.001*Sheet!$D$11*2*Sheet!$F$37*Sheet!$D$43*PI())/(144*10^8*Sheet!$D$65)</f>
        <v>366.5912335012996</v>
      </c>
      <c r="D27" s="109">
        <f t="shared" si="0"/>
        <v>1299.8041347334524</v>
      </c>
      <c r="E27" s="109">
        <f t="shared" si="4"/>
        <v>24</v>
      </c>
      <c r="F27" s="111">
        <f>(-Sheet!$D$29+SQRT(Sheet!$D$29^2+4*Sheet!$F$69*D27))/(2*Sheet!$F$69)</f>
        <v>46.692339663651488</v>
      </c>
      <c r="G27" s="109">
        <f>F27^2*Sheet!$F$69</f>
        <v>179.18798280581677</v>
      </c>
      <c r="H27" s="109">
        <f>F27*Sheet!$D$77</f>
        <v>84.04621139457268</v>
      </c>
      <c r="I27" s="109">
        <f t="shared" si="1"/>
        <v>263.23419420038942</v>
      </c>
      <c r="J27" s="109">
        <f t="shared" si="2"/>
        <v>1036.5699405330629</v>
      </c>
      <c r="K27" s="109">
        <f t="shared" si="3"/>
        <v>67.247915668100305</v>
      </c>
      <c r="L27" s="104">
        <f>J27/(B27/Sheet!$D$76)</f>
        <v>27.99194489684675</v>
      </c>
      <c r="N27" s="130"/>
      <c r="U27" s="106"/>
      <c r="V27" s="106"/>
      <c r="W27" s="106"/>
    </row>
    <row r="28" spans="1:23" x14ac:dyDescent="0.25">
      <c r="A28" s="104">
        <v>11.5</v>
      </c>
      <c r="B28" s="109">
        <f>A28^3*Sheet!$D$75/2*Sheet!$D$7^2/4*PI()*Sheet!$D$76/100</f>
        <v>1904.1164956153486</v>
      </c>
      <c r="C28" s="109">
        <f>(Sheet!$D$41^4*Sheet!$D$32^2*Sheet!$F$25^2*(Sheet!$D$5*60*Dreieck!A28/(PI()*Sheet!$D$7))^2*Sheet!$D$13*0.001*Sheet!$D$11*2*Sheet!$F$37*Sheet!$D$43*PI())/(144*10^8*Sheet!$D$65)</f>
        <v>400.67512917807323</v>
      </c>
      <c r="D28" s="109">
        <f t="shared" si="0"/>
        <v>1503.4413664372755</v>
      </c>
      <c r="E28" s="109">
        <f t="shared" si="4"/>
        <v>24</v>
      </c>
      <c r="F28" s="111">
        <f>(-Sheet!$D$29+SQRT(Sheet!$D$29^2+4*Sheet!$F$69*D28))/(2*Sheet!$F$69)</f>
        <v>53.017435772476084</v>
      </c>
      <c r="G28" s="109">
        <f>F28^2*Sheet!$F$69</f>
        <v>231.02290789784919</v>
      </c>
      <c r="H28" s="109">
        <f>F28*Sheet!$D$77</f>
        <v>95.431384390456955</v>
      </c>
      <c r="I28" s="109">
        <f t="shared" si="1"/>
        <v>326.45429228830614</v>
      </c>
      <c r="J28" s="109">
        <f t="shared" si="2"/>
        <v>1176.9870741489694</v>
      </c>
      <c r="K28" s="109">
        <f t="shared" si="3"/>
        <v>66.824611911584824</v>
      </c>
      <c r="L28" s="104">
        <f>J28/(B28/Sheet!$D$76)</f>
        <v>27.815744708197197</v>
      </c>
      <c r="N28" s="130"/>
      <c r="U28" s="106"/>
      <c r="V28" s="106"/>
      <c r="W28" s="106"/>
    </row>
    <row r="29" spans="1:23" x14ac:dyDescent="0.25">
      <c r="A29" s="104">
        <v>12</v>
      </c>
      <c r="B29" s="109">
        <f>A29^3*Sheet!$D$75/2*Sheet!$D$7^2/4*PI()*Sheet!$D$76/100</f>
        <v>2163.4344074452683</v>
      </c>
      <c r="C29" s="109">
        <f>(Sheet!$D$41^4*Sheet!$D$32^2*Sheet!$F$25^2*(Sheet!$D$5*60*Dreieck!A29/(PI()*Sheet!$D$7))^2*Sheet!$D$13*0.001*Sheet!$D$11*2*Sheet!$F$37*Sheet!$D$43*PI())/(144*10^8*Sheet!$D$65)</f>
        <v>436.2738646627036</v>
      </c>
      <c r="D29" s="109">
        <f t="shared" si="0"/>
        <v>1727.1605427825648</v>
      </c>
      <c r="E29" s="109">
        <f t="shared" si="4"/>
        <v>24</v>
      </c>
      <c r="F29" s="111">
        <f>(-Sheet!$D$29+SQRT(Sheet!$D$29^2+4*Sheet!$F$69*D29))/(2*Sheet!$F$69)</f>
        <v>59.742254319638413</v>
      </c>
      <c r="G29" s="109">
        <f>F29^2*Sheet!$F$69</f>
        <v>293.34643911124289</v>
      </c>
      <c r="H29" s="109">
        <f>F29*Sheet!$D$77</f>
        <v>107.53605777534915</v>
      </c>
      <c r="I29" s="109">
        <f t="shared" si="1"/>
        <v>400.88249688659204</v>
      </c>
      <c r="J29" s="109">
        <f>IF(I29&gt;0,D29-I29,0)</f>
        <v>1326.2780458959728</v>
      </c>
      <c r="K29" s="109">
        <f t="shared" si="3"/>
        <v>66.274905249587292</v>
      </c>
      <c r="L29" s="104">
        <f>J29/(B29/Sheet!$D$76)</f>
        <v>27.586929310140714</v>
      </c>
      <c r="N29" s="130"/>
      <c r="U29" s="106"/>
      <c r="V29" s="106"/>
      <c r="W29" s="106"/>
    </row>
    <row r="30" spans="1:23" x14ac:dyDescent="0.25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U30" s="106"/>
      <c r="V30" s="106"/>
      <c r="W30" s="106"/>
    </row>
    <row r="31" spans="1:23" x14ac:dyDescent="0.25">
      <c r="A31" s="1"/>
      <c r="C31" s="1"/>
      <c r="U31" s="106"/>
      <c r="V31" s="106"/>
      <c r="W31" s="106"/>
    </row>
    <row r="32" spans="1:23" x14ac:dyDescent="0.25">
      <c r="A32" s="1"/>
      <c r="C32" s="1"/>
    </row>
    <row r="33" spans="1:3" x14ac:dyDescent="0.25">
      <c r="A33" s="1"/>
      <c r="C33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</vt:lpstr>
      <vt:lpstr>Stern</vt:lpstr>
      <vt:lpstr>Dreieck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A. G.</cp:lastModifiedBy>
  <dcterms:created xsi:type="dcterms:W3CDTF">2012-08-05T19:21:51Z</dcterms:created>
  <dcterms:modified xsi:type="dcterms:W3CDTF">2026-01-25T20:07:54Z</dcterms:modified>
</cp:coreProperties>
</file>