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188" yWindow="48" windowWidth="12996" windowHeight="5532"/>
  </bookViews>
  <sheets>
    <sheet name="Ø-Bestimmung" sheetId="4" r:id="rId1"/>
    <sheet name="Schmitz" sheetId="1" r:id="rId2"/>
    <sheet name="Betz" sheetId="3" r:id="rId3"/>
  </sheets>
  <calcPr calcId="145621"/>
</workbook>
</file>

<file path=xl/calcChain.xml><?xml version="1.0" encoding="utf-8"?>
<calcChain xmlns="http://schemas.openxmlformats.org/spreadsheetml/2006/main">
  <c r="H48" i="4" l="1"/>
  <c r="I48" i="4" s="1"/>
  <c r="E48" i="4"/>
  <c r="H46" i="4"/>
  <c r="I46" i="4" s="1"/>
  <c r="H47" i="4"/>
  <c r="J47" i="4" s="1"/>
  <c r="E46" i="4"/>
  <c r="E47" i="4"/>
  <c r="J37" i="4"/>
  <c r="J38" i="4"/>
  <c r="J39" i="4"/>
  <c r="J40" i="4"/>
  <c r="J41" i="4"/>
  <c r="J42" i="4"/>
  <c r="J43" i="4"/>
  <c r="J44" i="4"/>
  <c r="H37" i="4"/>
  <c r="H38" i="4"/>
  <c r="H39" i="4"/>
  <c r="H40" i="4"/>
  <c r="H41" i="4"/>
  <c r="H42" i="4"/>
  <c r="H43" i="4"/>
  <c r="H44" i="4"/>
  <c r="H45" i="4"/>
  <c r="J48" i="4" l="1"/>
  <c r="K47" i="4"/>
  <c r="L47" i="4"/>
  <c r="M47" i="4" s="1"/>
  <c r="I47" i="4"/>
  <c r="J46" i="4"/>
  <c r="I39" i="4"/>
  <c r="I40" i="4"/>
  <c r="I37" i="4"/>
  <c r="E37" i="4"/>
  <c r="E45" i="4"/>
  <c r="E38" i="4"/>
  <c r="E39" i="4"/>
  <c r="E40" i="4"/>
  <c r="E41" i="4"/>
  <c r="E42" i="4"/>
  <c r="E43" i="4"/>
  <c r="E44" i="4"/>
  <c r="K48" i="4" l="1"/>
  <c r="L48" i="4"/>
  <c r="M48" i="4" s="1"/>
  <c r="K46" i="4"/>
  <c r="L46" i="4"/>
  <c r="M46" i="4" s="1"/>
  <c r="B3" i="1"/>
  <c r="F18" i="3" l="1"/>
  <c r="G18" i="3"/>
  <c r="H18" i="3"/>
  <c r="B18" i="1" l="1"/>
  <c r="D18" i="1"/>
  <c r="E18" i="1" s="1"/>
  <c r="F18" i="1" s="1"/>
  <c r="L18" i="1" l="1"/>
  <c r="P18" i="1"/>
  <c r="Q18" i="1" s="1"/>
  <c r="H20" i="3" l="1"/>
  <c r="G20" i="3"/>
  <c r="F20" i="3"/>
  <c r="H19" i="3"/>
  <c r="G19" i="3"/>
  <c r="F19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G10" i="3"/>
  <c r="H10" i="3"/>
  <c r="F10" i="3"/>
  <c r="D25" i="4" l="1"/>
  <c r="D26" i="4" s="1"/>
  <c r="D30" i="4" s="1"/>
  <c r="D6" i="4" s="1"/>
  <c r="B14" i="1"/>
  <c r="D15" i="1"/>
  <c r="E15" i="1" s="1"/>
  <c r="D17" i="1"/>
  <c r="E17" i="1" s="1"/>
  <c r="B3" i="3"/>
  <c r="I21" i="1"/>
  <c r="D11" i="4"/>
  <c r="D10" i="4"/>
  <c r="D13" i="4" s="1"/>
  <c r="D11" i="1"/>
  <c r="P11" i="1" s="1"/>
  <c r="D12" i="1"/>
  <c r="P12" i="1" s="1"/>
  <c r="C18" i="3" l="1"/>
  <c r="D18" i="3" s="1"/>
  <c r="E11" i="1"/>
  <c r="L11" i="1" s="1"/>
  <c r="C13" i="3"/>
  <c r="D13" i="3" s="1"/>
  <c r="P13" i="3" s="1"/>
  <c r="B15" i="1"/>
  <c r="B20" i="1"/>
  <c r="B10" i="1"/>
  <c r="B13" i="1"/>
  <c r="D14" i="1"/>
  <c r="D13" i="1"/>
  <c r="E13" i="1" s="1"/>
  <c r="F13" i="1" s="1"/>
  <c r="C11" i="3"/>
  <c r="D11" i="3" s="1"/>
  <c r="P11" i="3" s="1"/>
  <c r="D20" i="1"/>
  <c r="D10" i="1"/>
  <c r="B16" i="1"/>
  <c r="C19" i="3"/>
  <c r="D19" i="3" s="1"/>
  <c r="P19" i="3" s="1"/>
  <c r="D19" i="1"/>
  <c r="P15" i="1"/>
  <c r="Q15" i="1" s="1"/>
  <c r="B19" i="1"/>
  <c r="C12" i="3"/>
  <c r="D12" i="3" s="1"/>
  <c r="P12" i="3" s="1"/>
  <c r="D16" i="1"/>
  <c r="B11" i="1"/>
  <c r="C10" i="3"/>
  <c r="D10" i="3" s="1"/>
  <c r="E10" i="3" s="1"/>
  <c r="L10" i="3" s="1"/>
  <c r="C20" i="3"/>
  <c r="D20" i="3" s="1"/>
  <c r="P17" i="1"/>
  <c r="Q17" i="1" s="1"/>
  <c r="C16" i="3"/>
  <c r="D16" i="3" s="1"/>
  <c r="P16" i="3" s="1"/>
  <c r="B12" i="1"/>
  <c r="C14" i="3"/>
  <c r="D14" i="3" s="1"/>
  <c r="E14" i="3" s="1"/>
  <c r="L14" i="3" s="1"/>
  <c r="C15" i="3"/>
  <c r="D15" i="3" s="1"/>
  <c r="L15" i="1"/>
  <c r="F15" i="1"/>
  <c r="E12" i="1"/>
  <c r="B5" i="3"/>
  <c r="B17" i="1"/>
  <c r="L17" i="1"/>
  <c r="F17" i="1"/>
  <c r="C17" i="3"/>
  <c r="D17" i="3" s="1"/>
  <c r="D31" i="4"/>
  <c r="E18" i="3" l="1"/>
  <c r="L18" i="3" s="1"/>
  <c r="P18" i="3"/>
  <c r="F11" i="1"/>
  <c r="Q11" i="1"/>
  <c r="E13" i="3"/>
  <c r="L13" i="3" s="1"/>
  <c r="P14" i="1"/>
  <c r="E16" i="3"/>
  <c r="L16" i="3" s="1"/>
  <c r="L13" i="1"/>
  <c r="E19" i="3"/>
  <c r="L19" i="3" s="1"/>
  <c r="E12" i="3"/>
  <c r="L12" i="3" s="1"/>
  <c r="E11" i="3"/>
  <c r="L11" i="3" s="1"/>
  <c r="P14" i="3"/>
  <c r="E15" i="3"/>
  <c r="L15" i="3" s="1"/>
  <c r="E20" i="3"/>
  <c r="L20" i="3" s="1"/>
  <c r="P20" i="3"/>
  <c r="P13" i="1"/>
  <c r="Q13" i="1" s="1"/>
  <c r="P10" i="3"/>
  <c r="E14" i="1"/>
  <c r="E19" i="1"/>
  <c r="P19" i="1"/>
  <c r="P15" i="3"/>
  <c r="E16" i="1"/>
  <c r="P16" i="1"/>
  <c r="E20" i="1"/>
  <c r="L20" i="1" s="1"/>
  <c r="P20" i="1"/>
  <c r="P10" i="1"/>
  <c r="E10" i="1"/>
  <c r="L12" i="1"/>
  <c r="F12" i="1"/>
  <c r="Q12" i="1"/>
  <c r="P17" i="3"/>
  <c r="E17" i="3"/>
  <c r="L17" i="3" s="1"/>
  <c r="C39" i="4"/>
  <c r="D39" i="4" s="1"/>
  <c r="C41" i="4"/>
  <c r="D41" i="4" s="1"/>
  <c r="C49" i="4"/>
  <c r="D49" i="4" s="1"/>
  <c r="C40" i="4"/>
  <c r="D40" i="4" s="1"/>
  <c r="C42" i="4"/>
  <c r="D42" i="4" s="1"/>
  <c r="C43" i="4"/>
  <c r="D43" i="4" s="1"/>
  <c r="C48" i="4"/>
  <c r="D48" i="4" s="1"/>
  <c r="C46" i="4"/>
  <c r="D46" i="4" s="1"/>
  <c r="C44" i="4"/>
  <c r="D44" i="4" s="1"/>
  <c r="F31" i="4"/>
  <c r="B4" i="1" s="1"/>
  <c r="C45" i="4"/>
  <c r="D45" i="4" s="1"/>
  <c r="C47" i="4"/>
  <c r="D47" i="4" s="1"/>
  <c r="C51" i="4"/>
  <c r="D51" i="4" s="1"/>
  <c r="C50" i="4"/>
  <c r="D50" i="4" s="1"/>
  <c r="C38" i="4"/>
  <c r="D38" i="4" s="1"/>
  <c r="C37" i="4"/>
  <c r="D37" i="4" s="1"/>
  <c r="Q20" i="1" l="1"/>
  <c r="F14" i="1"/>
  <c r="L14" i="1"/>
  <c r="Q14" i="1"/>
  <c r="Q10" i="1"/>
  <c r="F20" i="1"/>
  <c r="L10" i="1"/>
  <c r="F10" i="1"/>
  <c r="Q16" i="1"/>
  <c r="Q19" i="1"/>
  <c r="F16" i="1"/>
  <c r="L16" i="1"/>
  <c r="L19" i="1"/>
  <c r="N19" i="1" s="1"/>
  <c r="F19" i="1"/>
  <c r="F44" i="4"/>
  <c r="G44" i="4" s="1"/>
  <c r="F48" i="4"/>
  <c r="G48" i="4" s="1"/>
  <c r="F50" i="4"/>
  <c r="G50" i="4" s="1"/>
  <c r="F30" i="4"/>
  <c r="F47" i="4"/>
  <c r="G47" i="4" s="1"/>
  <c r="F43" i="4"/>
  <c r="G43" i="4" s="1"/>
  <c r="F38" i="4"/>
  <c r="G38" i="4" s="1"/>
  <c r="F51" i="4"/>
  <c r="G51" i="4" s="1"/>
  <c r="F39" i="4"/>
  <c r="G39" i="4" s="1"/>
  <c r="F49" i="4"/>
  <c r="G49" i="4" s="1"/>
  <c r="F45" i="4"/>
  <c r="G45" i="4" s="1"/>
  <c r="F40" i="4"/>
  <c r="G40" i="4" s="1"/>
  <c r="F46" i="4"/>
  <c r="G46" i="4" s="1"/>
  <c r="F42" i="4"/>
  <c r="G42" i="4" s="1"/>
  <c r="F41" i="4"/>
  <c r="G41" i="4" s="1"/>
  <c r="F37" i="4"/>
  <c r="G37" i="4" s="1"/>
  <c r="K39" i="4" l="1"/>
  <c r="L39" i="4"/>
  <c r="M39" i="4" s="1"/>
  <c r="K37" i="4"/>
  <c r="L37" i="4"/>
  <c r="M37" i="4" s="1"/>
  <c r="L40" i="4"/>
  <c r="M40" i="4" s="1"/>
  <c r="K40" i="4"/>
  <c r="K44" i="4"/>
  <c r="I44" i="4"/>
  <c r="K41" i="4"/>
  <c r="I41" i="4"/>
  <c r="K38" i="4"/>
  <c r="I38" i="4"/>
  <c r="K42" i="4"/>
  <c r="I42" i="4"/>
  <c r="L43" i="4"/>
  <c r="M43" i="4" s="1"/>
  <c r="I43" i="4"/>
  <c r="J45" i="4"/>
  <c r="K45" i="4" s="1"/>
  <c r="I45" i="4"/>
  <c r="L38" i="4"/>
  <c r="M38" i="4" s="1"/>
  <c r="F4" i="1"/>
  <c r="C18" i="1" s="1"/>
  <c r="M18" i="1" s="1"/>
  <c r="B4" i="3"/>
  <c r="L41" i="4" l="1"/>
  <c r="M41" i="4" s="1"/>
  <c r="L45" i="4"/>
  <c r="M45" i="4" s="1"/>
  <c r="N45" i="4" s="1"/>
  <c r="O45" i="4" s="1"/>
  <c r="L44" i="4"/>
  <c r="M44" i="4" s="1"/>
  <c r="K43" i="4"/>
  <c r="L42" i="4"/>
  <c r="M42" i="4" s="1"/>
  <c r="N18" i="1"/>
  <c r="R18" i="1"/>
  <c r="O18" i="1"/>
  <c r="E4" i="3"/>
  <c r="C13" i="1"/>
  <c r="C19" i="1"/>
  <c r="C12" i="1"/>
  <c r="C10" i="1"/>
  <c r="M10" i="1" s="1"/>
  <c r="C20" i="1"/>
  <c r="C11" i="1"/>
  <c r="C15" i="1"/>
  <c r="C17" i="1"/>
  <c r="C14" i="1"/>
  <c r="C16" i="1"/>
  <c r="B18" i="3" l="1"/>
  <c r="M18" i="3"/>
  <c r="M10" i="3"/>
  <c r="M17" i="1"/>
  <c r="M12" i="1"/>
  <c r="M15" i="1"/>
  <c r="M11" i="1"/>
  <c r="R19" i="1"/>
  <c r="O19" i="1"/>
  <c r="M16" i="1"/>
  <c r="N16" i="1" s="1"/>
  <c r="M13" i="1"/>
  <c r="B11" i="3"/>
  <c r="B13" i="3"/>
  <c r="B19" i="3"/>
  <c r="M14" i="3"/>
  <c r="B17" i="3"/>
  <c r="M13" i="3"/>
  <c r="M16" i="3"/>
  <c r="M12" i="3"/>
  <c r="B12" i="3"/>
  <c r="B14" i="3"/>
  <c r="M15" i="3"/>
  <c r="B16" i="3"/>
  <c r="B20" i="3"/>
  <c r="B10" i="3"/>
  <c r="B15" i="3"/>
  <c r="M17" i="3"/>
  <c r="M11" i="3"/>
  <c r="M14" i="1"/>
  <c r="Q18" i="3" l="1"/>
  <c r="O18" i="3"/>
  <c r="N18" i="3"/>
  <c r="R18" i="3"/>
  <c r="Q20" i="3"/>
  <c r="O20" i="3"/>
  <c r="N20" i="3"/>
  <c r="Q16" i="3"/>
  <c r="N16" i="3"/>
  <c r="O16" i="3"/>
  <c r="O16" i="1"/>
  <c r="R16" i="1"/>
  <c r="R14" i="1"/>
  <c r="O14" i="1"/>
  <c r="O13" i="3"/>
  <c r="Q13" i="3"/>
  <c r="R15" i="1"/>
  <c r="O15" i="1"/>
  <c r="R20" i="1"/>
  <c r="O20" i="1"/>
  <c r="O14" i="3"/>
  <c r="Q14" i="3"/>
  <c r="O12" i="1"/>
  <c r="R12" i="1"/>
  <c r="O19" i="3"/>
  <c r="Q19" i="3"/>
  <c r="N19" i="3"/>
  <c r="O11" i="1"/>
  <c r="R11" i="1"/>
  <c r="N17" i="1"/>
  <c r="R17" i="1"/>
  <c r="O17" i="1"/>
  <c r="R20" i="3"/>
  <c r="Q11" i="3"/>
  <c r="O11" i="3"/>
  <c r="O17" i="3"/>
  <c r="N17" i="3"/>
  <c r="Q17" i="3"/>
  <c r="O15" i="3"/>
  <c r="Q15" i="3"/>
  <c r="O12" i="3"/>
  <c r="Q12" i="3"/>
  <c r="O13" i="1"/>
  <c r="R13" i="1"/>
  <c r="S20" i="1" l="1"/>
  <c r="S19" i="1"/>
  <c r="R10" i="1"/>
  <c r="M21" i="1"/>
  <c r="S17" i="1"/>
  <c r="O10" i="1"/>
  <c r="O3" i="1" s="1"/>
  <c r="R19" i="3"/>
  <c r="R17" i="3"/>
  <c r="R16" i="3"/>
  <c r="O10" i="3"/>
  <c r="O3" i="3" s="1"/>
  <c r="Q10" i="3"/>
</calcChain>
</file>

<file path=xl/comments1.xml><?xml version="1.0" encoding="utf-8"?>
<comments xmlns="http://schemas.openxmlformats.org/spreadsheetml/2006/main">
  <authors>
    <author>Georgi</author>
    <author>PC</author>
  </authors>
  <commentList>
    <comment ref="D13" authorId="0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Sparkassenformel, nachschüssige Rate, ohne Anfangskapital</t>
        </r>
      </text>
    </comment>
    <comment ref="A19" authorId="1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Nabennähe weniger wichtig als Richtung Blattspitze</t>
        </r>
      </text>
    </comment>
    <comment ref="D19" authorId="1">
      <text>
        <r>
          <rPr>
            <sz val="10"/>
            <color indexed="81"/>
            <rFont val="Tahoma"/>
            <family val="2"/>
          </rPr>
          <t>Gleitzahlen für Profillänge ∞
verwenden
(Streckung ∞)</t>
        </r>
      </text>
    </comment>
    <comment ref="D20" authorId="1">
      <text>
        <r>
          <rPr>
            <sz val="8"/>
            <color indexed="81"/>
            <rFont val="Tahoma"/>
            <family val="2"/>
          </rPr>
          <t xml:space="preserve">
hier für Gleitzahl 40
</t>
        </r>
      </text>
    </comment>
    <comment ref="E20" authorId="1">
      <text>
        <r>
          <rPr>
            <sz val="8"/>
            <color indexed="81"/>
            <rFont val="Tahoma"/>
            <family val="2"/>
          </rPr>
          <t xml:space="preserve">
Gleitzahlen für Profillänge ∞
verwenden
(Streckung ∞)</t>
        </r>
      </text>
    </comment>
    <comment ref="D28" authorId="0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in Nabenhöhe</t>
        </r>
      </text>
    </comment>
    <comment ref="F31" authorId="0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optional
konstruktiv sinnvolle Werte händisch eintragen</t>
        </r>
      </text>
    </comment>
  </commentList>
</comments>
</file>

<file path=xl/comments2.xml><?xml version="1.0" encoding="utf-8"?>
<comments xmlns="http://schemas.openxmlformats.org/spreadsheetml/2006/main">
  <authors>
    <author>Georgi</author>
    <author>PC</author>
  </authors>
  <commentList>
    <comment ref="O1" authorId="0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Flächenverhältnis Blattfläche_gesamt/Rotorfläche</t>
        </r>
      </text>
    </comment>
    <comment ref="S7" authorId="1">
      <text>
        <r>
          <rPr>
            <sz val="8"/>
            <color indexed="81"/>
            <rFont val="Tahoma"/>
            <family val="2"/>
          </rPr>
          <t xml:space="preserve">
Bei Profilierung bis r/R</t>
        </r>
      </text>
    </comment>
    <comment ref="D8" authorId="0">
      <text>
        <r>
          <rPr>
            <sz val="10"/>
            <color indexed="81"/>
            <rFont val="Tahoma"/>
            <family val="2"/>
          </rPr>
          <t>Gasch (5.58)</t>
        </r>
      </text>
    </comment>
    <comment ref="E8" authorId="0">
      <text>
        <r>
          <rPr>
            <sz val="10"/>
            <color indexed="81"/>
            <rFont val="Tahoma"/>
            <family val="2"/>
          </rPr>
          <t>Gasch (5.57)</t>
        </r>
      </text>
    </comment>
    <comment ref="Q8" authorId="0">
      <text>
        <r>
          <rPr>
            <sz val="10"/>
            <color indexed="81"/>
            <rFont val="Tahoma"/>
            <family val="2"/>
          </rPr>
          <t>nach Schmitz</t>
        </r>
      </text>
    </comment>
    <comment ref="A13" authorId="0">
      <text>
        <r>
          <rPr>
            <sz val="10"/>
            <color indexed="81"/>
            <rFont val="Tahoma"/>
            <family val="2"/>
          </rPr>
          <t>Auslegungsspant Crome</t>
        </r>
      </text>
    </comment>
    <comment ref="A16" authorId="0">
      <text>
        <r>
          <rPr>
            <sz val="10"/>
            <color indexed="81"/>
            <rFont val="Tahoma"/>
            <family val="2"/>
          </rPr>
          <t>inneres Ende Crome</t>
        </r>
      </text>
    </comment>
  </commentList>
</comments>
</file>

<file path=xl/comments3.xml><?xml version="1.0" encoding="utf-8"?>
<comments xmlns="http://schemas.openxmlformats.org/spreadsheetml/2006/main">
  <authors>
    <author>PC</author>
    <author>Georgi</author>
  </authors>
  <commentList>
    <comment ref="O1" authorId="0">
      <text>
        <r>
          <rPr>
            <sz val="8"/>
            <color indexed="81"/>
            <rFont val="Tahoma"/>
            <family val="2"/>
          </rPr>
          <t xml:space="preserve">
Flächenverhältnis Blattfläche_gesamt/Rotorfläche</t>
        </r>
      </text>
    </comment>
    <comment ref="R7" authorId="0">
      <text>
        <r>
          <rPr>
            <sz val="8"/>
            <color indexed="81"/>
            <rFont val="Tahoma"/>
            <family val="2"/>
          </rPr>
          <t xml:space="preserve">
Bei Profilierung bis r/R
</t>
        </r>
      </text>
    </comment>
    <comment ref="P8" authorId="1">
      <text>
        <r>
          <rPr>
            <sz val="10"/>
            <color indexed="81"/>
            <rFont val="Tahoma"/>
            <family val="2"/>
          </rPr>
          <t xml:space="preserve"> v_res=2/3v/sin_alfa
</t>
        </r>
      </text>
    </comment>
    <comment ref="M10" authorId="1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Handkorrektur möglich</t>
        </r>
      </text>
    </comment>
    <comment ref="A13" authorId="1">
      <text>
        <r>
          <rPr>
            <sz val="10"/>
            <color indexed="81"/>
            <rFont val="Tahoma"/>
            <family val="2"/>
          </rPr>
          <t>Auslegungsspant bei Crome</t>
        </r>
      </text>
    </comment>
    <comment ref="A16" authorId="1">
      <text>
        <r>
          <rPr>
            <sz val="10"/>
            <color indexed="81"/>
            <rFont val="Tahoma"/>
            <family val="2"/>
          </rPr>
          <t>inneres Ende bei Crome</t>
        </r>
      </text>
    </comment>
  </commentList>
</comments>
</file>

<file path=xl/sharedStrings.xml><?xml version="1.0" encoding="utf-8"?>
<sst xmlns="http://schemas.openxmlformats.org/spreadsheetml/2006/main" count="252" uniqueCount="157">
  <si>
    <t>l</t>
  </si>
  <si>
    <t>Ø in m</t>
  </si>
  <si>
    <t>R in m</t>
  </si>
  <si>
    <t>Z</t>
  </si>
  <si>
    <t>r</t>
  </si>
  <si>
    <t>m/s</t>
  </si>
  <si>
    <t>a</t>
  </si>
  <si>
    <t>°</t>
  </si>
  <si>
    <t>mm</t>
  </si>
  <si>
    <t>b</t>
  </si>
  <si>
    <t>g = a-b</t>
  </si>
  <si>
    <t>r/R</t>
  </si>
  <si>
    <t>Re-Zahl</t>
  </si>
  <si>
    <r>
      <t xml:space="preserve"> </t>
    </r>
    <r>
      <rPr>
        <sz val="8"/>
        <rFont val="Arial"/>
        <family val="2"/>
      </rPr>
      <t>v</t>
    </r>
    <r>
      <rPr>
        <vertAlign val="subscript"/>
        <sz val="8"/>
        <rFont val="Arial"/>
        <family val="2"/>
      </rPr>
      <t xml:space="preserve">w </t>
    </r>
    <r>
      <rPr>
        <sz val="8"/>
        <rFont val="Arial"/>
        <family val="2"/>
      </rPr>
      <t>in m/s</t>
    </r>
  </si>
  <si>
    <t>*1000</t>
  </si>
  <si>
    <t>(</t>
  </si>
  <si>
    <t>Anström-
Winkel</t>
  </si>
  <si>
    <t>Anstell-
Winkel</t>
  </si>
  <si>
    <t>Profilbreite</t>
  </si>
  <si>
    <t>Profil</t>
  </si>
  <si>
    <t>(5.63)</t>
  </si>
  <si>
    <t>(nach 5.58)</t>
  </si>
  <si>
    <r>
      <t>arctan (R/r*1/</t>
    </r>
    <r>
      <rPr>
        <b/>
        <sz val="12"/>
        <rFont val="Symbol"/>
        <family val="1"/>
        <charset val="2"/>
      </rPr>
      <t>l</t>
    </r>
    <r>
      <rPr>
        <b/>
        <sz val="12"/>
        <rFont val="Arial"/>
        <family val="2"/>
      </rPr>
      <t xml:space="preserve">) </t>
    </r>
  </si>
  <si>
    <t>(5.57)</t>
  </si>
  <si>
    <t xml:space="preserve">Eingabefelder sind </t>
  </si>
  <si>
    <t>gelb</t>
  </si>
  <si>
    <t>Rotor-Ø</t>
  </si>
  <si>
    <t>Schnelllaufzahl</t>
  </si>
  <si>
    <t>Blattanzahl</t>
  </si>
  <si>
    <t>Einbau-
Winkel</t>
  </si>
  <si>
    <r>
      <t>t</t>
    </r>
    <r>
      <rPr>
        <vertAlign val="subscript"/>
        <sz val="8"/>
        <color indexed="14"/>
        <rFont val="Arial"/>
        <family val="2"/>
      </rPr>
      <t>r</t>
    </r>
    <r>
      <rPr>
        <sz val="8"/>
        <color indexed="14"/>
        <rFont val="Arial"/>
        <family val="2"/>
      </rPr>
      <t xml:space="preserve"> 
Schmitz (5.63)</t>
    </r>
  </si>
  <si>
    <t>Streckung</t>
  </si>
  <si>
    <t>kg/m³</t>
  </si>
  <si>
    <t xml:space="preserve"> Auslegung nach Betz</t>
  </si>
  <si>
    <t>kWh</t>
  </si>
  <si>
    <t>EUR</t>
  </si>
  <si>
    <t>Preis/kWh</t>
  </si>
  <si>
    <t>Vm</t>
  </si>
  <si>
    <t>Dichte</t>
  </si>
  <si>
    <t>m</t>
  </si>
  <si>
    <t>aerodyn.</t>
  </si>
  <si>
    <t>gesamt</t>
  </si>
  <si>
    <t>W</t>
  </si>
  <si>
    <t>Paer</t>
  </si>
  <si>
    <t>P</t>
  </si>
  <si>
    <t>Vw</t>
  </si>
  <si>
    <t>Drehfrequenz</t>
  </si>
  <si>
    <t>Drehzahl</t>
  </si>
  <si>
    <t>n</t>
  </si>
  <si>
    <t>fn</t>
  </si>
  <si>
    <r>
      <t>s</t>
    </r>
    <r>
      <rPr>
        <vertAlign val="superscript"/>
        <sz val="10"/>
        <rFont val="Arial"/>
        <family val="2"/>
      </rPr>
      <t>-1</t>
    </r>
  </si>
  <si>
    <r>
      <t>min</t>
    </r>
    <r>
      <rPr>
        <vertAlign val="superscript"/>
        <sz val="10"/>
        <rFont val="Arial"/>
        <family val="2"/>
      </rPr>
      <t>-1</t>
    </r>
  </si>
  <si>
    <t>c1</t>
  </si>
  <si>
    <t>m²</t>
  </si>
  <si>
    <t>e</t>
  </si>
  <si>
    <t>k</t>
  </si>
  <si>
    <t xml:space="preserve">Leistung
</t>
  </si>
  <si>
    <t>c</t>
  </si>
  <si>
    <t>Gleit-
zahl</t>
  </si>
  <si>
    <t>-</t>
  </si>
  <si>
    <t>Z = Blattanzahl</t>
  </si>
  <si>
    <t>Wirkfläche</t>
  </si>
  <si>
    <t>Jahres-Mittelwind</t>
  </si>
  <si>
    <t>Durchmesser-Bestimmung, Drehzahlen</t>
  </si>
  <si>
    <t>Weibull-Erhöhungsfaktor</t>
  </si>
  <si>
    <t>Re-Zahl und Streckung</t>
  </si>
  <si>
    <t>Bildreferenz: Horst Schulze, Luftschrauben für Modellantriebe, Transpress-Verlag 1980</t>
  </si>
  <si>
    <t>Kontrolle:</t>
  </si>
  <si>
    <t>%</t>
  </si>
  <si>
    <t>Solidity</t>
  </si>
  <si>
    <t>cw</t>
  </si>
  <si>
    <t>rot</t>
  </si>
  <si>
    <t>sonstige Werte mit Tabelle "Schmitz" verknüpft</t>
  </si>
  <si>
    <r>
      <t>e</t>
    </r>
    <r>
      <rPr>
        <sz val="10"/>
        <rFont val="Arial"/>
        <family val="2"/>
      </rPr>
      <t xml:space="preserve"> = Gleitzahl der Profile bei Streckung </t>
    </r>
    <r>
      <rPr>
        <sz val="12"/>
        <rFont val="Arial"/>
        <family val="2"/>
      </rPr>
      <t>∞,</t>
    </r>
    <r>
      <rPr>
        <sz val="10"/>
        <rFont val="Arial"/>
        <family val="2"/>
      </rPr>
      <t xml:space="preserve"> gemittelt, bei zu wählendem Anstellwinkel </t>
    </r>
  </si>
  <si>
    <t>Bildreferenz: Gasch, Windkraftanlagen, 1996</t>
  </si>
  <si>
    <t>Gleichungen nach Gasch, Windkraftanlagen, 1996</t>
  </si>
  <si>
    <t>Anströ-
mung</t>
  </si>
  <si>
    <t>Stapelhöhe ca.</t>
  </si>
  <si>
    <t>gilt nur für HAWT !</t>
  </si>
  <si>
    <t>Bild 1</t>
  </si>
  <si>
    <t>Bemerkungen/Quellen</t>
  </si>
  <si>
    <t>durchschnittliche Gleitzahl</t>
  </si>
  <si>
    <t>Ableitungs-Verlustbeiwert</t>
  </si>
  <si>
    <t>nach Messungen oder</t>
  </si>
  <si>
    <t>Nennlast</t>
  </si>
  <si>
    <t>A. Georgi</t>
  </si>
  <si>
    <t>nach Bild 5.25 und 5.10 (Gasch)</t>
  </si>
  <si>
    <t>Preissteigerung/Jahr</t>
  </si>
  <si>
    <t>Ertragszeitraum</t>
  </si>
  <si>
    <t>Ertrag/Ertragszeitraum</t>
  </si>
  <si>
    <t>2006 bis 2011</t>
  </si>
  <si>
    <t>Chronik</t>
  </si>
  <si>
    <t>Zinsfaktor</t>
  </si>
  <si>
    <t>q</t>
  </si>
  <si>
    <t>ocker</t>
  </si>
  <si>
    <t>Eigenverbrauch oder Zählerrücklauf</t>
  </si>
  <si>
    <t>p</t>
  </si>
  <si>
    <t xml:space="preserve">Sparkassenformel </t>
  </si>
  <si>
    <r>
      <t>a</t>
    </r>
    <r>
      <rPr>
        <vertAlign val="subscript"/>
        <sz val="9"/>
        <rFont val="Symbol"/>
        <family val="1"/>
        <charset val="2"/>
      </rPr>
      <t>1</t>
    </r>
  </si>
  <si>
    <r>
      <t>c</t>
    </r>
    <r>
      <rPr>
        <vertAlign val="subscript"/>
        <sz val="9"/>
        <rFont val="Arial"/>
        <family val="2"/>
      </rPr>
      <t>a</t>
    </r>
  </si>
  <si>
    <r>
      <t>c</t>
    </r>
    <r>
      <rPr>
        <vertAlign val="subscript"/>
        <sz val="9"/>
        <rFont val="Arial"/>
        <family val="2"/>
      </rPr>
      <t>w</t>
    </r>
  </si>
  <si>
    <r>
      <t>tan</t>
    </r>
    <r>
      <rPr>
        <sz val="9"/>
        <rFont val="Symbol"/>
        <family val="1"/>
        <charset val="2"/>
      </rPr>
      <t>a</t>
    </r>
  </si>
  <si>
    <r>
      <t>v</t>
    </r>
    <r>
      <rPr>
        <vertAlign val="subscript"/>
        <sz val="9"/>
        <rFont val="Arial"/>
        <family val="2"/>
      </rPr>
      <t>res</t>
    </r>
  </si>
  <si>
    <r>
      <t xml:space="preserve">Profildaten für Flügelstreckung ∞ </t>
    </r>
    <r>
      <rPr>
        <i/>
        <sz val="12"/>
        <rFont val="Arial"/>
        <family val="2"/>
      </rPr>
      <t xml:space="preserve">!  </t>
    </r>
    <r>
      <rPr>
        <sz val="12"/>
        <rFont val="Arial"/>
        <family val="2"/>
      </rPr>
      <t>Re-Zahl vermutlich 400 000</t>
    </r>
  </si>
  <si>
    <t>s. Bild 1</t>
  </si>
  <si>
    <t>Jahresenergiemenge</t>
  </si>
  <si>
    <t>Ertrag im 1. Jahr</t>
  </si>
  <si>
    <t>R</t>
  </si>
  <si>
    <t xml:space="preserve">Eingabefelder sind: </t>
  </si>
  <si>
    <t xml:space="preserve">handkorrigierte Werte sind: </t>
  </si>
  <si>
    <r>
      <t>H</t>
    </r>
    <r>
      <rPr>
        <vertAlign val="subscript"/>
        <sz val="9"/>
        <rFont val="Arial"/>
        <family val="2"/>
      </rPr>
      <t>r</t>
    </r>
  </si>
  <si>
    <r>
      <t>B</t>
    </r>
    <r>
      <rPr>
        <vertAlign val="subscript"/>
        <sz val="9"/>
        <rFont val="Arial"/>
        <family val="2"/>
      </rPr>
      <t>r</t>
    </r>
  </si>
  <si>
    <t>Eingabefelder sind:</t>
  </si>
  <si>
    <t xml:space="preserve">   Blattbreite ca.</t>
  </si>
  <si>
    <t xml:space="preserve">Hauptergebnisse sind </t>
  </si>
  <si>
    <t>Wind-
Geschwindig-
keit</t>
  </si>
  <si>
    <t>Zugabe [%]</t>
  </si>
  <si>
    <r>
      <t>2/3*</t>
    </r>
    <r>
      <rPr>
        <b/>
        <sz val="12"/>
        <rFont val="Symbol"/>
        <family val="1"/>
        <charset val="2"/>
      </rPr>
      <t>a1</t>
    </r>
    <r>
      <rPr>
        <b/>
        <sz val="12"/>
        <rFont val="Arial"/>
        <family val="2"/>
      </rPr>
      <t xml:space="preserve"> </t>
    </r>
  </si>
  <si>
    <r>
      <t>l</t>
    </r>
    <r>
      <rPr>
        <vertAlign val="subscript"/>
        <sz val="12"/>
        <rFont val="Arial"/>
        <family val="2"/>
      </rPr>
      <t>r</t>
    </r>
  </si>
  <si>
    <t>Ebene 5: Profilauswahl in Anlehnung an Propellerbau</t>
  </si>
  <si>
    <t>Ebene 4: Modifizierung des Anstellwinkels</t>
  </si>
  <si>
    <t>geschätzt</t>
  </si>
  <si>
    <t>Wechselrichter</t>
  </si>
  <si>
    <t>Generator-Cp</t>
  </si>
  <si>
    <t>aerodyn. Cp</t>
  </si>
  <si>
    <t>elektrischer Cp</t>
  </si>
  <si>
    <t>Gesamt-Cp</t>
  </si>
  <si>
    <t>NACA 4412</t>
  </si>
  <si>
    <t>Profildaten nach Xfoil Simulation mit Qblade</t>
  </si>
  <si>
    <t xml:space="preserve">a1 = </t>
  </si>
  <si>
    <t xml:space="preserve">a  = </t>
  </si>
  <si>
    <r>
      <t>t_r</t>
    </r>
    <r>
      <rPr>
        <vertAlign val="subscript"/>
        <sz val="9"/>
        <color rgb="FFCC0000"/>
        <rFont val="Arial"/>
        <family val="2"/>
      </rPr>
      <t xml:space="preserve">       </t>
    </r>
    <r>
      <rPr>
        <sz val="9"/>
        <color rgb="FFCC0000"/>
        <rFont val="Arial"/>
        <family val="2"/>
      </rPr>
      <t>(5.36)</t>
    </r>
  </si>
  <si>
    <t xml:space="preserve"> Auslegung nach Schmitz</t>
  </si>
  <si>
    <t>(5.26)</t>
  </si>
  <si>
    <t>Globalwindatlas</t>
  </si>
  <si>
    <t>NACA 4416</t>
  </si>
  <si>
    <t>NACA 4414</t>
  </si>
  <si>
    <r>
      <t xml:space="preserve">l; </t>
    </r>
    <r>
      <rPr>
        <sz val="10"/>
        <rFont val="Arial"/>
        <family val="2"/>
      </rPr>
      <t>TSR</t>
    </r>
  </si>
  <si>
    <t>P_WR in</t>
  </si>
  <si>
    <t>U-leer</t>
  </si>
  <si>
    <t>V</t>
  </si>
  <si>
    <t>I DC</t>
  </si>
  <si>
    <t>U (AC)</t>
  </si>
  <si>
    <t>I (AC)</t>
  </si>
  <si>
    <t>A</t>
  </si>
  <si>
    <t>V AC</t>
  </si>
  <si>
    <t>V DC</t>
  </si>
  <si>
    <t xml:space="preserve">U-leer </t>
  </si>
  <si>
    <t>mm²</t>
  </si>
  <si>
    <t>I_ref</t>
  </si>
  <si>
    <t>A/mm²</t>
  </si>
  <si>
    <t>d</t>
  </si>
  <si>
    <t>U (DC)</t>
  </si>
  <si>
    <t>WindMaxx 2000 + Red.Trafo</t>
  </si>
  <si>
    <t>WR Win 1500 - 160</t>
  </si>
  <si>
    <t>WindMaxx 500</t>
  </si>
  <si>
    <t>Am Ausgang: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</si>
</sst>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"/>
  </numFmts>
  <fonts count="6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Symbol"/>
      <family val="1"/>
      <charset val="2"/>
    </font>
    <font>
      <sz val="8"/>
      <color indexed="8"/>
      <name val="Arial"/>
      <family val="2"/>
    </font>
    <font>
      <vertAlign val="subscript"/>
      <sz val="8"/>
      <name val="Arial"/>
      <family val="2"/>
    </font>
    <font>
      <sz val="8"/>
      <name val="Arial"/>
      <family val="2"/>
    </font>
    <font>
      <sz val="10"/>
      <color indexed="81"/>
      <name val="Tahoma"/>
      <family val="2"/>
    </font>
    <font>
      <u/>
      <sz val="10"/>
      <color indexed="12"/>
      <name val="Arial"/>
      <family val="2"/>
    </font>
    <font>
      <sz val="8"/>
      <color indexed="2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sz val="14"/>
      <name val="Arial"/>
      <family val="2"/>
    </font>
    <font>
      <b/>
      <sz val="12"/>
      <name val="Symbol"/>
      <family val="1"/>
      <charset val="2"/>
    </font>
    <font>
      <b/>
      <sz val="12"/>
      <name val="Arial"/>
      <family val="2"/>
    </font>
    <font>
      <sz val="8"/>
      <color indexed="14"/>
      <name val="Arial"/>
      <family val="2"/>
    </font>
    <font>
      <vertAlign val="subscript"/>
      <sz val="8"/>
      <color indexed="14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sz val="8"/>
      <color indexed="81"/>
      <name val="Tahoma"/>
      <family val="2"/>
    </font>
    <font>
      <sz val="10"/>
      <color indexed="23"/>
      <name val="Arial"/>
      <family val="2"/>
    </font>
    <font>
      <u/>
      <sz val="8"/>
      <name val="Arial"/>
      <family val="2"/>
    </font>
    <font>
      <b/>
      <sz val="10"/>
      <color indexed="8"/>
      <name val="Arial"/>
      <family val="2"/>
    </font>
    <font>
      <sz val="8"/>
      <color indexed="10"/>
      <name val="Arial"/>
      <family val="2"/>
    </font>
    <font>
      <sz val="12"/>
      <name val="Symbol"/>
      <family val="1"/>
      <charset val="2"/>
    </font>
    <font>
      <b/>
      <sz val="8"/>
      <color indexed="10"/>
      <name val="Arial"/>
      <family val="2"/>
    </font>
    <font>
      <b/>
      <sz val="8"/>
      <color indexed="14"/>
      <name val="Arial"/>
      <family val="2"/>
    </font>
    <font>
      <b/>
      <sz val="8"/>
      <color indexed="12"/>
      <name val="Arial"/>
      <family val="2"/>
    </font>
    <font>
      <b/>
      <sz val="12"/>
      <name val="Arial"/>
      <family val="2"/>
    </font>
    <font>
      <b/>
      <sz val="10"/>
      <color indexed="81"/>
      <name val="Tahoma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9"/>
      <name val="Symbol"/>
      <family val="1"/>
      <charset val="2"/>
    </font>
    <font>
      <sz val="9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  <font>
      <vertAlign val="subscript"/>
      <sz val="9"/>
      <name val="Symbol"/>
      <family val="1"/>
      <charset val="2"/>
    </font>
    <font>
      <vertAlign val="subscript"/>
      <sz val="9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b/>
      <sz val="10"/>
      <color indexed="10"/>
      <name val="Arial"/>
      <family val="2"/>
    </font>
    <font>
      <sz val="10"/>
      <color theme="0" tint="-0.499984740745262"/>
      <name val="Arial"/>
      <family val="2"/>
    </font>
    <font>
      <u/>
      <sz val="10"/>
      <color indexed="12"/>
      <name val="Arial"/>
      <family val="2"/>
    </font>
    <font>
      <sz val="8"/>
      <color theme="0" tint="-0.499984740745262"/>
      <name val="Arial"/>
      <family val="2"/>
    </font>
    <font>
      <b/>
      <sz val="8"/>
      <color theme="0" tint="-0.499984740745262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rgb="FFCC0000"/>
      <name val="Arial"/>
      <family val="2"/>
    </font>
    <font>
      <sz val="9"/>
      <color rgb="FF0070C0"/>
      <name val="Symbol"/>
      <family val="1"/>
      <charset val="2"/>
    </font>
    <font>
      <sz val="9"/>
      <color rgb="FFCC0000"/>
      <name val="Arial"/>
      <family val="2"/>
    </font>
    <font>
      <vertAlign val="subscript"/>
      <sz val="9"/>
      <color rgb="FFCC0000"/>
      <name val="Arial"/>
      <family val="2"/>
    </font>
    <font>
      <sz val="8"/>
      <color rgb="FFCC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0"/>
      <color theme="0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</cellStyleXfs>
  <cellXfs count="4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165" fontId="2" fillId="0" borderId="0" xfId="0" applyNumberFormat="1" applyFont="1"/>
    <xf numFmtId="1" fontId="2" fillId="0" borderId="0" xfId="0" applyNumberFormat="1" applyFont="1"/>
    <xf numFmtId="0" fontId="2" fillId="2" borderId="0" xfId="0" applyFont="1" applyFill="1"/>
    <xf numFmtId="165" fontId="2" fillId="0" borderId="0" xfId="0" applyNumberFormat="1" applyFont="1" applyFill="1"/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2" fontId="6" fillId="0" borderId="0" xfId="0" applyNumberFormat="1" applyFont="1" applyFill="1" applyAlignment="1">
      <alignment horizontal="right"/>
    </xf>
    <xf numFmtId="165" fontId="9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/>
    <xf numFmtId="165" fontId="11" fillId="0" borderId="0" xfId="0" applyNumberFormat="1" applyFont="1" applyFill="1" applyAlignment="1">
      <alignment horizontal="right"/>
    </xf>
    <xf numFmtId="2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center"/>
    </xf>
    <xf numFmtId="165" fontId="11" fillId="0" borderId="0" xfId="0" applyNumberFormat="1" applyFont="1" applyFill="1"/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165" fontId="17" fillId="0" borderId="0" xfId="0" applyNumberFormat="1" applyFont="1" applyFill="1"/>
    <xf numFmtId="0" fontId="2" fillId="3" borderId="0" xfId="0" applyFont="1" applyFill="1"/>
    <xf numFmtId="164" fontId="11" fillId="0" borderId="0" xfId="0" applyNumberFormat="1" applyFont="1" applyFill="1"/>
    <xf numFmtId="2" fontId="11" fillId="0" borderId="0" xfId="0" applyNumberFormat="1" applyFont="1" applyFill="1"/>
    <xf numFmtId="0" fontId="11" fillId="0" borderId="0" xfId="0" applyFont="1" applyFill="1" applyAlignment="1">
      <alignment horizontal="center"/>
    </xf>
    <xf numFmtId="165" fontId="19" fillId="0" borderId="0" xfId="0" applyNumberFormat="1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0" fillId="0" borderId="0" xfId="0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1" fontId="6" fillId="0" borderId="0" xfId="0" applyNumberFormat="1" applyFont="1" applyFill="1"/>
    <xf numFmtId="1" fontId="2" fillId="0" borderId="0" xfId="0" applyNumberFormat="1" applyFont="1" applyFill="1" applyBorder="1"/>
    <xf numFmtId="2" fontId="2" fillId="0" borderId="0" xfId="0" applyNumberFormat="1" applyFont="1" applyFill="1" applyBorder="1"/>
    <xf numFmtId="1" fontId="2" fillId="2" borderId="0" xfId="0" applyNumberFormat="1" applyFont="1" applyFill="1" applyBorder="1"/>
    <xf numFmtId="2" fontId="2" fillId="2" borderId="0" xfId="0" applyNumberFormat="1" applyFont="1" applyFill="1" applyBorder="1"/>
    <xf numFmtId="0" fontId="0" fillId="0" borderId="0" xfId="0" applyAlignment="1">
      <alignment horizontal="left" indent="1"/>
    </xf>
    <xf numFmtId="164" fontId="0" fillId="0" borderId="0" xfId="0" applyNumberFormat="1"/>
    <xf numFmtId="2" fontId="2" fillId="0" borderId="0" xfId="0" applyNumberFormat="1" applyFont="1" applyBorder="1"/>
    <xf numFmtId="2" fontId="18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1" xfId="0" applyFont="1" applyBorder="1"/>
    <xf numFmtId="165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2" borderId="0" xfId="0" applyNumberFormat="1" applyFont="1" applyFill="1" applyBorder="1"/>
    <xf numFmtId="165" fontId="2" fillId="0" borderId="0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5" fontId="2" fillId="3" borderId="0" xfId="0" applyNumberFormat="1" applyFont="1" applyFill="1" applyBorder="1"/>
    <xf numFmtId="2" fontId="2" fillId="3" borderId="0" xfId="0" applyNumberFormat="1" applyFont="1" applyFill="1" applyBorder="1"/>
    <xf numFmtId="1" fontId="2" fillId="0" borderId="0" xfId="0" applyNumberFormat="1" applyFont="1" applyBorder="1"/>
    <xf numFmtId="0" fontId="10" fillId="0" borderId="3" xfId="0" applyFont="1" applyBorder="1"/>
    <xf numFmtId="0" fontId="10" fillId="0" borderId="1" xfId="0" applyFont="1" applyBorder="1"/>
    <xf numFmtId="1" fontId="2" fillId="0" borderId="1" xfId="0" applyNumberFormat="1" applyFont="1" applyBorder="1"/>
    <xf numFmtId="165" fontId="2" fillId="0" borderId="1" xfId="0" applyNumberFormat="1" applyFont="1" applyBorder="1"/>
    <xf numFmtId="165" fontId="9" fillId="0" borderId="1" xfId="0" applyNumberFormat="1" applyFont="1" applyBorder="1"/>
    <xf numFmtId="165" fontId="2" fillId="0" borderId="0" xfId="0" applyNumberFormat="1" applyFont="1" applyBorder="1"/>
    <xf numFmtId="165" fontId="9" fillId="0" borderId="0" xfId="0" applyNumberFormat="1" applyFont="1" applyBorder="1"/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0" fontId="4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 indent="1"/>
    </xf>
    <xf numFmtId="165" fontId="9" fillId="0" borderId="0" xfId="0" applyNumberFormat="1" applyFont="1" applyBorder="1" applyAlignment="1">
      <alignment horizontal="center"/>
    </xf>
    <xf numFmtId="165" fontId="2" fillId="4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165" fontId="15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textRotation="180"/>
    </xf>
    <xf numFmtId="165" fontId="15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2" borderId="2" xfId="0" applyFont="1" applyFill="1" applyBorder="1"/>
    <xf numFmtId="165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2" fontId="2" fillId="4" borderId="0" xfId="0" applyNumberFormat="1" applyFont="1" applyFill="1" applyBorder="1"/>
    <xf numFmtId="0" fontId="2" fillId="0" borderId="2" xfId="0" applyFont="1" applyFill="1" applyBorder="1"/>
    <xf numFmtId="165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0" xfId="0" applyNumberFormat="1" applyFont="1" applyFill="1" applyBorder="1" applyAlignment="1">
      <alignment horizontal="right"/>
    </xf>
    <xf numFmtId="2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1" fontId="2" fillId="3" borderId="0" xfId="0" applyNumberFormat="1" applyFont="1" applyFill="1" applyBorder="1"/>
    <xf numFmtId="2" fontId="10" fillId="0" borderId="0" xfId="0" applyNumberFormat="1" applyFont="1" applyFill="1" applyBorder="1" applyAlignment="1">
      <alignment horizontal="center"/>
    </xf>
    <xf numFmtId="0" fontId="21" fillId="0" borderId="0" xfId="0" applyFont="1" applyAlignment="1">
      <alignment horizontal="left" indent="1"/>
    </xf>
    <xf numFmtId="0" fontId="10" fillId="0" borderId="0" xfId="0" applyFont="1" applyBorder="1"/>
    <xf numFmtId="2" fontId="0" fillId="0" borderId="0" xfId="0" applyNumberFormat="1"/>
    <xf numFmtId="0" fontId="18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165" fontId="2" fillId="0" borderId="2" xfId="0" applyNumberFormat="1" applyFont="1" applyBorder="1" applyAlignment="1">
      <alignment horizontal="center" wrapText="1"/>
    </xf>
    <xf numFmtId="165" fontId="2" fillId="2" borderId="2" xfId="0" applyNumberFormat="1" applyFont="1" applyFill="1" applyBorder="1"/>
    <xf numFmtId="165" fontId="2" fillId="0" borderId="2" xfId="0" applyNumberFormat="1" applyFont="1" applyFill="1" applyBorder="1"/>
    <xf numFmtId="165" fontId="2" fillId="3" borderId="2" xfId="0" applyNumberFormat="1" applyFont="1" applyFill="1" applyBorder="1"/>
    <xf numFmtId="165" fontId="26" fillId="0" borderId="3" xfId="0" applyNumberFormat="1" applyFont="1" applyBorder="1" applyAlignment="1">
      <alignment horizontal="left" indent="1"/>
    </xf>
    <xf numFmtId="165" fontId="2" fillId="0" borderId="0" xfId="0" applyNumberFormat="1" applyFont="1" applyAlignment="1">
      <alignment horizontal="left" indent="1"/>
    </xf>
    <xf numFmtId="165" fontId="2" fillId="0" borderId="0" xfId="0" applyNumberFormat="1" applyFont="1" applyFill="1" applyAlignment="1"/>
    <xf numFmtId="166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10" fillId="0" borderId="3" xfId="0" applyFont="1" applyBorder="1" applyAlignment="1">
      <alignment horizontal="left" indent="1"/>
    </xf>
    <xf numFmtId="165" fontId="2" fillId="0" borderId="3" xfId="0" applyNumberFormat="1" applyFont="1" applyBorder="1"/>
    <xf numFmtId="2" fontId="2" fillId="0" borderId="1" xfId="0" applyNumberFormat="1" applyFont="1" applyBorder="1"/>
    <xf numFmtId="0" fontId="2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1" fillId="0" borderId="0" xfId="0" applyFont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2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vertical="center" textRotation="90" wrapText="1"/>
    </xf>
    <xf numFmtId="1" fontId="0" fillId="0" borderId="0" xfId="0" applyNumberFormat="1" applyBorder="1"/>
    <xf numFmtId="1" fontId="10" fillId="0" borderId="0" xfId="0" applyNumberFormat="1" applyFont="1" applyBorder="1"/>
    <xf numFmtId="165" fontId="2" fillId="0" borderId="7" xfId="0" applyNumberFormat="1" applyFont="1" applyBorder="1"/>
    <xf numFmtId="165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/>
    <xf numFmtId="165" fontId="2" fillId="0" borderId="8" xfId="0" applyNumberFormat="1" applyFont="1" applyFill="1" applyBorder="1" applyAlignment="1">
      <alignment horizontal="center"/>
    </xf>
    <xf numFmtId="165" fontId="2" fillId="3" borderId="8" xfId="0" applyNumberFormat="1" applyFont="1" applyFill="1" applyBorder="1"/>
    <xf numFmtId="165" fontId="2" fillId="0" borderId="8" xfId="0" applyNumberFormat="1" applyFont="1" applyFill="1" applyBorder="1"/>
    <xf numFmtId="165" fontId="2" fillId="3" borderId="8" xfId="0" applyNumberFormat="1" applyFont="1" applyFill="1" applyBorder="1" applyAlignment="1">
      <alignment horizontal="center"/>
    </xf>
    <xf numFmtId="165" fontId="2" fillId="2" borderId="8" xfId="0" applyNumberFormat="1" applyFont="1" applyFill="1" applyBorder="1"/>
    <xf numFmtId="165" fontId="2" fillId="2" borderId="8" xfId="0" applyNumberFormat="1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2" fontId="2" fillId="0" borderId="0" xfId="0" applyNumberFormat="1" applyFont="1" applyBorder="1" applyAlignment="1">
      <alignment textRotation="90"/>
    </xf>
    <xf numFmtId="164" fontId="2" fillId="3" borderId="0" xfId="0" applyNumberFormat="1" applyFont="1" applyFill="1" applyBorder="1"/>
    <xf numFmtId="2" fontId="6" fillId="0" borderId="0" xfId="0" applyNumberFormat="1" applyFont="1" applyFill="1" applyBorder="1"/>
    <xf numFmtId="164" fontId="0" fillId="0" borderId="0" xfId="0" applyNumberFormat="1" applyBorder="1"/>
    <xf numFmtId="0" fontId="10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21" fillId="0" borderId="0" xfId="0" applyFont="1" applyAlignment="1">
      <alignment vertical="center"/>
    </xf>
    <xf numFmtId="165" fontId="1" fillId="0" borderId="0" xfId="0" applyNumberFormat="1" applyFont="1" applyAlignment="1">
      <alignment vertical="center" wrapText="1"/>
    </xf>
    <xf numFmtId="164" fontId="2" fillId="2" borderId="0" xfId="0" applyNumberFormat="1" applyFont="1" applyFill="1" applyBorder="1"/>
    <xf numFmtId="2" fontId="19" fillId="0" borderId="0" xfId="0" applyNumberFormat="1" applyFont="1" applyFill="1" applyBorder="1"/>
    <xf numFmtId="164" fontId="6" fillId="0" borderId="0" xfId="0" applyNumberFormat="1" applyFont="1" applyFill="1" applyBorder="1"/>
    <xf numFmtId="0" fontId="29" fillId="0" borderId="0" xfId="0" applyFont="1" applyAlignment="1">
      <alignment horizontal="left" indent="1"/>
    </xf>
    <xf numFmtId="0" fontId="2" fillId="4" borderId="0" xfId="0" applyFont="1" applyFill="1" applyBorder="1" applyAlignment="1">
      <alignment horizontal="left" indent="1"/>
    </xf>
    <xf numFmtId="0" fontId="28" fillId="0" borderId="0" xfId="0" applyFont="1" applyFill="1" applyBorder="1" applyAlignment="1">
      <alignment horizontal="left" indent="1"/>
    </xf>
    <xf numFmtId="166" fontId="2" fillId="0" borderId="10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31" fillId="0" borderId="0" xfId="0" applyNumberFormat="1" applyFont="1" applyFill="1" applyBorder="1"/>
    <xf numFmtId="165" fontId="31" fillId="2" borderId="0" xfId="0" applyNumberFormat="1" applyFont="1" applyFill="1" applyBorder="1"/>
    <xf numFmtId="165" fontId="31" fillId="3" borderId="0" xfId="0" applyNumberFormat="1" applyFont="1" applyFill="1" applyBorder="1"/>
    <xf numFmtId="165" fontId="6" fillId="3" borderId="0" xfId="0" applyNumberFormat="1" applyFont="1" applyFill="1" applyBorder="1"/>
    <xf numFmtId="165" fontId="6" fillId="0" borderId="0" xfId="0" applyNumberFormat="1" applyFont="1" applyFill="1" applyBorder="1"/>
    <xf numFmtId="165" fontId="6" fillId="2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left" indent="1"/>
    </xf>
    <xf numFmtId="0" fontId="8" fillId="0" borderId="0" xfId="1" applyAlignment="1" applyProtection="1"/>
    <xf numFmtId="0" fontId="33" fillId="0" borderId="0" xfId="0" applyFont="1" applyBorder="1"/>
    <xf numFmtId="0" fontId="0" fillId="0" borderId="0" xfId="0" applyFont="1" applyFill="1" applyBorder="1" applyAlignment="1">
      <alignment horizontal="left" indent="1"/>
    </xf>
    <xf numFmtId="0" fontId="22" fillId="0" borderId="0" xfId="0" applyFont="1" applyAlignment="1">
      <alignment horizontal="center"/>
    </xf>
    <xf numFmtId="0" fontId="0" fillId="4" borderId="0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left" indent="1"/>
    </xf>
    <xf numFmtId="164" fontId="1" fillId="0" borderId="8" xfId="0" applyNumberFormat="1" applyFont="1" applyBorder="1" applyAlignment="1">
      <alignment horizontal="left" indent="1"/>
    </xf>
    <xf numFmtId="164" fontId="1" fillId="0" borderId="8" xfId="0" applyNumberFormat="1" applyFont="1" applyBorder="1"/>
    <xf numFmtId="0" fontId="1" fillId="0" borderId="8" xfId="0" applyFont="1" applyBorder="1"/>
    <xf numFmtId="2" fontId="1" fillId="0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8" fillId="0" borderId="9" xfId="1" applyBorder="1" applyAlignment="1" applyProtection="1"/>
    <xf numFmtId="0" fontId="1" fillId="0" borderId="0" xfId="0" applyFont="1" applyFill="1"/>
    <xf numFmtId="0" fontId="35" fillId="0" borderId="0" xfId="0" applyFont="1"/>
    <xf numFmtId="0" fontId="21" fillId="0" borderId="0" xfId="0" applyFont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2" fontId="11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left" indent="1"/>
    </xf>
    <xf numFmtId="1" fontId="19" fillId="0" borderId="0" xfId="0" applyNumberFormat="1" applyFont="1" applyFill="1" applyBorder="1"/>
    <xf numFmtId="165" fontId="19" fillId="0" borderId="0" xfId="0" applyNumberFormat="1" applyFont="1" applyFill="1" applyBorder="1"/>
    <xf numFmtId="2" fontId="19" fillId="0" borderId="0" xfId="0" applyNumberFormat="1" applyFont="1" applyFill="1" applyBorder="1" applyAlignment="1"/>
    <xf numFmtId="0" fontId="36" fillId="0" borderId="2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165" fontId="36" fillId="0" borderId="0" xfId="0" applyNumberFormat="1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36" fillId="0" borderId="0" xfId="0" applyNumberFormat="1" applyFont="1" applyFill="1" applyBorder="1" applyAlignment="1">
      <alignment horizontal="center"/>
    </xf>
    <xf numFmtId="2" fontId="36" fillId="0" borderId="0" xfId="0" applyNumberFormat="1" applyFont="1" applyFill="1" applyBorder="1" applyAlignment="1">
      <alignment horizontal="center"/>
    </xf>
    <xf numFmtId="1" fontId="37" fillId="0" borderId="0" xfId="0" applyNumberFormat="1" applyFont="1" applyFill="1" applyBorder="1" applyAlignment="1">
      <alignment horizontal="center"/>
    </xf>
    <xf numFmtId="2" fontId="38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wrapText="1"/>
    </xf>
    <xf numFmtId="165" fontId="19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left" indent="1"/>
    </xf>
    <xf numFmtId="0" fontId="27" fillId="5" borderId="0" xfId="0" applyFont="1" applyFill="1" applyBorder="1" applyAlignment="1">
      <alignment horizontal="left" indent="1"/>
    </xf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/>
    <xf numFmtId="1" fontId="0" fillId="0" borderId="0" xfId="0" applyNumberFormat="1" applyFill="1" applyBorder="1" applyAlignment="1">
      <alignment horizontal="center"/>
    </xf>
    <xf numFmtId="0" fontId="10" fillId="5" borderId="0" xfId="0" applyFont="1" applyFill="1" applyBorder="1" applyAlignment="1">
      <alignment horizontal="left" indent="1"/>
    </xf>
    <xf numFmtId="2" fontId="10" fillId="5" borderId="0" xfId="0" applyNumberFormat="1" applyFont="1" applyFill="1" applyBorder="1" applyAlignment="1">
      <alignment horizontal="center"/>
    </xf>
    <xf numFmtId="1" fontId="10" fillId="5" borderId="0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0" fontId="1" fillId="0" borderId="8" xfId="0" applyFont="1" applyBorder="1" applyAlignment="1">
      <alignment horizontal="left" indent="1"/>
    </xf>
    <xf numFmtId="2" fontId="0" fillId="0" borderId="2" xfId="0" applyNumberFormat="1" applyFill="1" applyBorder="1" applyAlignment="1">
      <alignment horizontal="left" indent="1"/>
    </xf>
    <xf numFmtId="0" fontId="8" fillId="0" borderId="8" xfId="1" applyBorder="1" applyAlignment="1" applyProtection="1">
      <alignment horizontal="left" indent="1"/>
    </xf>
    <xf numFmtId="0" fontId="8" fillId="0" borderId="2" xfId="1" applyBorder="1" applyAlignment="1" applyProtection="1">
      <alignment horizontal="left" indent="1"/>
    </xf>
    <xf numFmtId="2" fontId="1" fillId="0" borderId="2" xfId="0" applyNumberFormat="1" applyFont="1" applyFill="1" applyBorder="1" applyAlignment="1">
      <alignment horizontal="left" indent="2"/>
    </xf>
    <xf numFmtId="2" fontId="1" fillId="0" borderId="2" xfId="0" applyNumberFormat="1" applyFont="1" applyBorder="1" applyAlignment="1">
      <alignment horizontal="left" indent="2"/>
    </xf>
    <xf numFmtId="164" fontId="1" fillId="0" borderId="8" xfId="0" applyNumberFormat="1" applyFont="1" applyBorder="1" applyAlignment="1">
      <alignment horizontal="left" indent="2"/>
    </xf>
    <xf numFmtId="0" fontId="39" fillId="0" borderId="0" xfId="0" applyFont="1" applyAlignment="1">
      <alignment horizontal="left" indent="1"/>
    </xf>
    <xf numFmtId="0" fontId="39" fillId="0" borderId="0" xfId="0" applyFont="1"/>
    <xf numFmtId="0" fontId="36" fillId="0" borderId="0" xfId="0" applyFont="1"/>
    <xf numFmtId="0" fontId="36" fillId="0" borderId="1" xfId="0" applyFont="1" applyBorder="1"/>
    <xf numFmtId="0" fontId="40" fillId="0" borderId="0" xfId="0" applyFont="1"/>
    <xf numFmtId="2" fontId="37" fillId="0" borderId="0" xfId="0" applyNumberFormat="1" applyFont="1" applyBorder="1" applyAlignment="1">
      <alignment horizontal="center"/>
    </xf>
    <xf numFmtId="2" fontId="38" fillId="0" borderId="0" xfId="0" applyNumberFormat="1" applyFont="1" applyBorder="1" applyAlignment="1">
      <alignment horizontal="center"/>
    </xf>
    <xf numFmtId="165" fontId="36" fillId="0" borderId="0" xfId="0" applyNumberFormat="1" applyFont="1" applyBorder="1" applyAlignment="1">
      <alignment horizontal="center" wrapText="1"/>
    </xf>
    <xf numFmtId="165" fontId="36" fillId="0" borderId="2" xfId="0" applyNumberFormat="1" applyFont="1" applyBorder="1" applyAlignment="1">
      <alignment horizontal="center" wrapText="1"/>
    </xf>
    <xf numFmtId="165" fontId="36" fillId="0" borderId="8" xfId="0" applyNumberFormat="1" applyFont="1" applyBorder="1" applyAlignment="1">
      <alignment horizontal="center"/>
    </xf>
    <xf numFmtId="165" fontId="36" fillId="0" borderId="2" xfId="0" applyNumberFormat="1" applyFont="1" applyBorder="1" applyAlignment="1">
      <alignment horizontal="center"/>
    </xf>
    <xf numFmtId="165" fontId="36" fillId="0" borderId="0" xfId="0" applyNumberFormat="1" applyFont="1" applyFill="1" applyBorder="1" applyAlignment="1">
      <alignment horizontal="center"/>
    </xf>
    <xf numFmtId="0" fontId="38" fillId="0" borderId="0" xfId="0" applyFont="1" applyBorder="1" applyAlignment="1">
      <alignment horizontal="center"/>
    </xf>
    <xf numFmtId="165" fontId="36" fillId="0" borderId="8" xfId="0" applyNumberFormat="1" applyFont="1" applyBorder="1"/>
    <xf numFmtId="0" fontId="36" fillId="0" borderId="0" xfId="0" applyFont="1" applyFill="1"/>
    <xf numFmtId="0" fontId="40" fillId="0" borderId="2" xfId="0" applyFont="1" applyBorder="1"/>
    <xf numFmtId="165" fontId="38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35" fillId="0" borderId="8" xfId="0" applyFont="1" applyBorder="1"/>
    <xf numFmtId="2" fontId="1" fillId="0" borderId="8" xfId="0" applyNumberFormat="1" applyFont="1" applyBorder="1" applyAlignment="1">
      <alignment horizontal="left" vertical="center" wrapText="1" indent="1"/>
    </xf>
    <xf numFmtId="0" fontId="2" fillId="0" borderId="0" xfId="0" applyFont="1" applyBorder="1" applyAlignment="1"/>
    <xf numFmtId="0" fontId="2" fillId="4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" fontId="25" fillId="0" borderId="0" xfId="0" applyNumberFormat="1" applyFont="1" applyBorder="1"/>
    <xf numFmtId="2" fontId="2" fillId="0" borderId="0" xfId="0" applyNumberFormat="1" applyFont="1" applyAlignment="1">
      <alignment horizontal="right"/>
    </xf>
    <xf numFmtId="0" fontId="1" fillId="5" borderId="0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left" indent="1"/>
    </xf>
    <xf numFmtId="165" fontId="10" fillId="0" borderId="6" xfId="0" applyNumberFormat="1" applyFont="1" applyFill="1" applyBorder="1" applyAlignment="1">
      <alignment horizontal="left" wrapText="1" indent="1"/>
    </xf>
    <xf numFmtId="165" fontId="2" fillId="5" borderId="12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 indent="1"/>
    </xf>
    <xf numFmtId="2" fontId="0" fillId="0" borderId="0" xfId="0" applyNumberFormat="1" applyAlignment="1">
      <alignment horizontal="center"/>
    </xf>
    <xf numFmtId="0" fontId="2" fillId="0" borderId="6" xfId="0" applyFont="1" applyFill="1" applyBorder="1"/>
    <xf numFmtId="0" fontId="10" fillId="0" borderId="1" xfId="0" applyFont="1" applyBorder="1" applyAlignment="1">
      <alignment horizontal="left" indent="1"/>
    </xf>
    <xf numFmtId="0" fontId="40" fillId="0" borderId="0" xfId="0" applyFont="1" applyBorder="1"/>
    <xf numFmtId="1" fontId="18" fillId="0" borderId="9" xfId="0" applyNumberFormat="1" applyFont="1" applyBorder="1"/>
    <xf numFmtId="1" fontId="10" fillId="4" borderId="6" xfId="0" applyNumberFormat="1" applyFont="1" applyFill="1" applyBorder="1" applyAlignment="1">
      <alignment horizontal="center"/>
    </xf>
    <xf numFmtId="2" fontId="32" fillId="2" borderId="0" xfId="0" applyNumberFormat="1" applyFont="1" applyFill="1" applyBorder="1" applyAlignment="1">
      <alignment horizontal="right"/>
    </xf>
    <xf numFmtId="2" fontId="32" fillId="0" borderId="0" xfId="0" applyNumberFormat="1" applyFont="1" applyFill="1" applyBorder="1" applyAlignment="1">
      <alignment horizontal="right"/>
    </xf>
    <xf numFmtId="2" fontId="32" fillId="3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indent="1"/>
    </xf>
    <xf numFmtId="2" fontId="0" fillId="0" borderId="2" xfId="0" applyNumberFormat="1" applyFont="1" applyBorder="1" applyAlignment="1">
      <alignment horizontal="left" indent="1"/>
    </xf>
    <xf numFmtId="1" fontId="1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left" indent="1"/>
    </xf>
    <xf numFmtId="2" fontId="1" fillId="4" borderId="0" xfId="0" applyNumberFormat="1" applyFont="1" applyFill="1" applyBorder="1" applyAlignment="1">
      <alignment horizontal="center"/>
    </xf>
    <xf numFmtId="2" fontId="18" fillId="5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" fontId="18" fillId="0" borderId="0" xfId="0" applyNumberFormat="1" applyFont="1" applyBorder="1"/>
    <xf numFmtId="0" fontId="48" fillId="2" borderId="2" xfId="0" applyFont="1" applyFill="1" applyBorder="1"/>
    <xf numFmtId="165" fontId="48" fillId="2" borderId="0" xfId="0" applyNumberFormat="1" applyFont="1" applyFill="1" applyBorder="1"/>
    <xf numFmtId="165" fontId="48" fillId="2" borderId="0" xfId="0" applyNumberFormat="1" applyFont="1" applyFill="1" applyBorder="1" applyAlignment="1">
      <alignment horizontal="right"/>
    </xf>
    <xf numFmtId="2" fontId="48" fillId="2" borderId="0" xfId="0" applyNumberFormat="1" applyFont="1" applyFill="1" applyBorder="1" applyAlignment="1">
      <alignment horizontal="right"/>
    </xf>
    <xf numFmtId="165" fontId="48" fillId="0" borderId="0" xfId="0" applyNumberFormat="1" applyFont="1" applyFill="1" applyBorder="1"/>
    <xf numFmtId="164" fontId="48" fillId="2" borderId="0" xfId="0" applyNumberFormat="1" applyFont="1" applyFill="1" applyBorder="1"/>
    <xf numFmtId="1" fontId="48" fillId="2" borderId="0" xfId="0" applyNumberFormat="1" applyFont="1" applyFill="1" applyBorder="1"/>
    <xf numFmtId="165" fontId="49" fillId="2" borderId="8" xfId="0" applyNumberFormat="1" applyFont="1" applyFill="1" applyBorder="1" applyAlignment="1">
      <alignment horizontal="center"/>
    </xf>
    <xf numFmtId="0" fontId="48" fillId="0" borderId="5" xfId="0" applyFont="1" applyFill="1" applyBorder="1"/>
    <xf numFmtId="165" fontId="48" fillId="0" borderId="4" xfId="0" applyNumberFormat="1" applyFont="1" applyFill="1" applyBorder="1"/>
    <xf numFmtId="165" fontId="48" fillId="0" borderId="4" xfId="0" applyNumberFormat="1" applyFont="1" applyFill="1" applyBorder="1" applyAlignment="1">
      <alignment horizontal="right"/>
    </xf>
    <xf numFmtId="2" fontId="48" fillId="0" borderId="4" xfId="0" applyNumberFormat="1" applyFont="1" applyFill="1" applyBorder="1" applyAlignment="1">
      <alignment horizontal="right"/>
    </xf>
    <xf numFmtId="0" fontId="48" fillId="0" borderId="4" xfId="0" applyFont="1" applyFill="1" applyBorder="1" applyAlignment="1">
      <alignment horizontal="center"/>
    </xf>
    <xf numFmtId="164" fontId="48" fillId="0" borderId="4" xfId="0" applyNumberFormat="1" applyFont="1" applyFill="1" applyBorder="1"/>
    <xf numFmtId="165" fontId="48" fillId="0" borderId="5" xfId="0" applyNumberFormat="1" applyFont="1" applyFill="1" applyBorder="1"/>
    <xf numFmtId="1" fontId="48" fillId="0" borderId="4" xfId="0" applyNumberFormat="1" applyFont="1" applyFill="1" applyBorder="1"/>
    <xf numFmtId="165" fontId="48" fillId="0" borderId="9" xfId="0" applyNumberFormat="1" applyFont="1" applyFill="1" applyBorder="1" applyAlignment="1">
      <alignment horizontal="center"/>
    </xf>
    <xf numFmtId="2" fontId="48" fillId="0" borderId="4" xfId="0" applyNumberFormat="1" applyFont="1" applyFill="1" applyBorder="1"/>
    <xf numFmtId="2" fontId="48" fillId="6" borderId="0" xfId="0" applyNumberFormat="1" applyFont="1" applyFill="1" applyBorder="1"/>
    <xf numFmtId="164" fontId="48" fillId="6" borderId="0" xfId="0" applyNumberFormat="1" applyFont="1" applyFill="1" applyBorder="1"/>
    <xf numFmtId="0" fontId="19" fillId="3" borderId="2" xfId="0" applyFont="1" applyFill="1" applyBorder="1"/>
    <xf numFmtId="0" fontId="19" fillId="0" borderId="2" xfId="0" applyFont="1" applyFill="1" applyBorder="1"/>
    <xf numFmtId="0" fontId="19" fillId="2" borderId="2" xfId="0" applyFont="1" applyFill="1" applyBorder="1"/>
    <xf numFmtId="165" fontId="2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wrapText="1"/>
    </xf>
    <xf numFmtId="165" fontId="18" fillId="0" borderId="0" xfId="0" applyNumberFormat="1" applyFont="1" applyBorder="1" applyAlignment="1"/>
    <xf numFmtId="0" fontId="2" fillId="7" borderId="0" xfId="0" applyFont="1" applyFill="1" applyBorder="1" applyAlignment="1">
      <alignment horizontal="center"/>
    </xf>
    <xf numFmtId="0" fontId="48" fillId="7" borderId="4" xfId="0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left" indent="1"/>
    </xf>
    <xf numFmtId="1" fontId="36" fillId="0" borderId="0" xfId="0" applyNumberFormat="1" applyFont="1" applyBorder="1" applyAlignment="1">
      <alignment horizontal="center"/>
    </xf>
    <xf numFmtId="1" fontId="11" fillId="0" borderId="0" xfId="0" applyNumberFormat="1" applyFont="1" applyFill="1"/>
    <xf numFmtId="1" fontId="6" fillId="0" borderId="0" xfId="0" applyNumberFormat="1" applyFont="1"/>
    <xf numFmtId="1" fontId="40" fillId="0" borderId="0" xfId="0" applyNumberFormat="1" applyFont="1"/>
    <xf numFmtId="1" fontId="21" fillId="0" borderId="0" xfId="0" applyNumberFormat="1" applyFont="1" applyAlignment="1">
      <alignment horizontal="left" indent="1"/>
    </xf>
    <xf numFmtId="0" fontId="48" fillId="7" borderId="0" xfId="0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center"/>
    </xf>
    <xf numFmtId="165" fontId="48" fillId="0" borderId="4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165" fontId="48" fillId="6" borderId="0" xfId="0" applyNumberFormat="1" applyFont="1" applyFill="1" applyBorder="1"/>
    <xf numFmtId="0" fontId="48" fillId="6" borderId="0" xfId="0" applyFont="1" applyFill="1" applyBorder="1" applyAlignment="1">
      <alignment horizontal="center"/>
    </xf>
    <xf numFmtId="165" fontId="48" fillId="6" borderId="0" xfId="0" applyNumberFormat="1" applyFont="1" applyFill="1" applyBorder="1" applyAlignment="1">
      <alignment horizontal="center"/>
    </xf>
    <xf numFmtId="165" fontId="48" fillId="6" borderId="2" xfId="0" applyNumberFormat="1" applyFont="1" applyFill="1" applyBorder="1"/>
    <xf numFmtId="165" fontId="48" fillId="6" borderId="8" xfId="0" applyNumberFormat="1" applyFont="1" applyFill="1" applyBorder="1" applyAlignment="1">
      <alignment horizontal="center"/>
    </xf>
    <xf numFmtId="0" fontId="48" fillId="6" borderId="2" xfId="0" applyFont="1" applyFill="1" applyBorder="1"/>
    <xf numFmtId="2" fontId="48" fillId="6" borderId="0" xfId="0" applyNumberFormat="1" applyFont="1" applyFill="1" applyBorder="1" applyAlignment="1">
      <alignment horizontal="right"/>
    </xf>
    <xf numFmtId="1" fontId="1" fillId="0" borderId="0" xfId="0" applyNumberFormat="1" applyFont="1" applyBorder="1"/>
    <xf numFmtId="1" fontId="46" fillId="0" borderId="0" xfId="0" applyNumberFormat="1" applyFont="1" applyBorder="1"/>
    <xf numFmtId="0" fontId="0" fillId="0" borderId="8" xfId="0" applyBorder="1" applyAlignment="1"/>
    <xf numFmtId="0" fontId="2" fillId="0" borderId="0" xfId="0" applyFont="1" applyBorder="1" applyAlignment="1">
      <alignment horizontal="right"/>
    </xf>
    <xf numFmtId="2" fontId="53" fillId="0" borderId="0" xfId="0" applyNumberFormat="1" applyFont="1" applyBorder="1" applyAlignment="1">
      <alignment horizontal="center"/>
    </xf>
    <xf numFmtId="0" fontId="50" fillId="0" borderId="0" xfId="0" applyFont="1" applyBorder="1" applyAlignment="1">
      <alignment horizontal="center"/>
    </xf>
    <xf numFmtId="2" fontId="51" fillId="3" borderId="0" xfId="0" applyNumberFormat="1" applyFont="1" applyFill="1" applyBorder="1" applyAlignment="1">
      <alignment horizontal="right"/>
    </xf>
    <xf numFmtId="2" fontId="51" fillId="0" borderId="0" xfId="0" applyNumberFormat="1" applyFont="1" applyFill="1" applyBorder="1" applyAlignment="1">
      <alignment horizontal="right"/>
    </xf>
    <xf numFmtId="2" fontId="51" fillId="2" borderId="0" xfId="0" applyNumberFormat="1" applyFont="1" applyFill="1" applyBorder="1" applyAlignment="1">
      <alignment horizontal="right"/>
    </xf>
    <xf numFmtId="165" fontId="54" fillId="0" borderId="0" xfId="0" applyNumberFormat="1" applyFont="1" applyBorder="1" applyAlignment="1">
      <alignment horizontal="center" wrapText="1"/>
    </xf>
    <xf numFmtId="165" fontId="56" fillId="0" borderId="0" xfId="0" applyNumberFormat="1" applyFont="1" applyBorder="1" applyAlignment="1">
      <alignment horizontal="center"/>
    </xf>
    <xf numFmtId="165" fontId="52" fillId="6" borderId="0" xfId="0" applyNumberFormat="1" applyFont="1" applyFill="1" applyBorder="1" applyAlignment="1">
      <alignment horizontal="right"/>
    </xf>
    <xf numFmtId="165" fontId="52" fillId="0" borderId="0" xfId="0" applyNumberFormat="1" applyFont="1" applyFill="1" applyBorder="1"/>
    <xf numFmtId="165" fontId="52" fillId="3" borderId="0" xfId="0" applyNumberFormat="1" applyFont="1" applyFill="1" applyBorder="1"/>
    <xf numFmtId="165" fontId="52" fillId="2" borderId="0" xfId="0" applyNumberFormat="1" applyFont="1" applyFill="1" applyBorder="1"/>
    <xf numFmtId="165" fontId="38" fillId="0" borderId="8" xfId="0" applyNumberFormat="1" applyFont="1" applyFill="1" applyBorder="1" applyAlignment="1">
      <alignment horizontal="center"/>
    </xf>
    <xf numFmtId="165" fontId="6" fillId="0" borderId="8" xfId="0" applyNumberFormat="1" applyFont="1" applyFill="1" applyBorder="1" applyAlignment="1">
      <alignment horizontal="center"/>
    </xf>
    <xf numFmtId="165" fontId="6" fillId="0" borderId="8" xfId="0" applyNumberFormat="1" applyFont="1" applyFill="1" applyBorder="1"/>
    <xf numFmtId="165" fontId="6" fillId="2" borderId="8" xfId="0" applyNumberFormat="1" applyFont="1" applyFill="1" applyBorder="1"/>
    <xf numFmtId="165" fontId="6" fillId="3" borderId="8" xfId="0" applyNumberFormat="1" applyFont="1" applyFill="1" applyBorder="1"/>
    <xf numFmtId="165" fontId="48" fillId="0" borderId="9" xfId="0" applyNumberFormat="1" applyFont="1" applyFill="1" applyBorder="1"/>
    <xf numFmtId="1" fontId="6" fillId="3" borderId="0" xfId="0" applyNumberFormat="1" applyFont="1" applyFill="1" applyBorder="1"/>
    <xf numFmtId="1" fontId="6" fillId="0" borderId="0" xfId="0" applyNumberFormat="1" applyFont="1" applyFill="1" applyBorder="1"/>
    <xf numFmtId="1" fontId="6" fillId="2" borderId="0" xfId="0" applyNumberFormat="1" applyFont="1" applyFill="1" applyBorder="1"/>
    <xf numFmtId="1" fontId="48" fillId="6" borderId="0" xfId="0" applyNumberFormat="1" applyFont="1" applyFill="1" applyBorder="1"/>
    <xf numFmtId="0" fontId="21" fillId="0" borderId="0" xfId="0" applyFont="1"/>
    <xf numFmtId="165" fontId="57" fillId="2" borderId="0" xfId="0" applyNumberFormat="1" applyFont="1" applyFill="1" applyBorder="1"/>
    <xf numFmtId="165" fontId="57" fillId="0" borderId="4" xfId="0" applyNumberFormat="1" applyFont="1" applyFill="1" applyBorder="1"/>
    <xf numFmtId="0" fontId="2" fillId="7" borderId="6" xfId="0" applyFont="1" applyFill="1" applyBorder="1" applyAlignment="1" applyProtection="1">
      <alignment horizontal="right"/>
    </xf>
    <xf numFmtId="0" fontId="10" fillId="0" borderId="0" xfId="0" applyFont="1" applyAlignment="1">
      <alignment horizontal="center"/>
    </xf>
    <xf numFmtId="0" fontId="58" fillId="7" borderId="0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5" fontId="0" fillId="0" borderId="0" xfId="0" applyNumberFormat="1"/>
    <xf numFmtId="2" fontId="18" fillId="0" borderId="0" xfId="0" applyNumberFormat="1" applyFont="1" applyBorder="1"/>
    <xf numFmtId="2" fontId="18" fillId="0" borderId="4" xfId="0" applyNumberFormat="1" applyFont="1" applyBorder="1"/>
    <xf numFmtId="0" fontId="46" fillId="0" borderId="0" xfId="0" applyFont="1" applyBorder="1"/>
    <xf numFmtId="1" fontId="59" fillId="0" borderId="0" xfId="0" applyNumberFormat="1" applyFont="1" applyBorder="1"/>
    <xf numFmtId="0" fontId="25" fillId="0" borderId="0" xfId="0" applyFont="1" applyBorder="1"/>
    <xf numFmtId="0" fontId="10" fillId="8" borderId="0" xfId="0" applyFont="1" applyFill="1" applyBorder="1"/>
    <xf numFmtId="1" fontId="0" fillId="8" borderId="0" xfId="0" applyNumberFormat="1" applyFill="1" applyBorder="1"/>
    <xf numFmtId="1" fontId="10" fillId="8" borderId="0" xfId="0" applyNumberFormat="1" applyFont="1" applyFill="1" applyBorder="1"/>
    <xf numFmtId="2" fontId="0" fillId="8" borderId="0" xfId="0" applyNumberFormat="1" applyFill="1" applyBorder="1"/>
    <xf numFmtId="165" fontId="0" fillId="8" borderId="0" xfId="0" applyNumberFormat="1" applyFill="1"/>
    <xf numFmtId="0" fontId="0" fillId="8" borderId="0" xfId="0" applyFill="1"/>
    <xf numFmtId="0" fontId="10" fillId="9" borderId="0" xfId="0" applyFont="1" applyFill="1" applyBorder="1"/>
    <xf numFmtId="1" fontId="0" fillId="9" borderId="0" xfId="0" applyNumberFormat="1" applyFill="1" applyBorder="1"/>
    <xf numFmtId="1" fontId="10" fillId="9" borderId="0" xfId="0" applyNumberFormat="1" applyFont="1" applyFill="1" applyBorder="1"/>
    <xf numFmtId="2" fontId="0" fillId="9" borderId="0" xfId="0" applyNumberFormat="1" applyFill="1" applyBorder="1"/>
    <xf numFmtId="0" fontId="0" fillId="9" borderId="0" xfId="0" applyFill="1"/>
    <xf numFmtId="0" fontId="10" fillId="10" borderId="0" xfId="0" applyFont="1" applyFill="1" applyBorder="1"/>
    <xf numFmtId="1" fontId="0" fillId="10" borderId="0" xfId="0" applyNumberFormat="1" applyFill="1" applyBorder="1"/>
    <xf numFmtId="1" fontId="10" fillId="10" borderId="0" xfId="0" applyNumberFormat="1" applyFont="1" applyFill="1" applyBorder="1"/>
    <xf numFmtId="2" fontId="0" fillId="10" borderId="0" xfId="0" applyNumberFormat="1" applyFill="1" applyBorder="1"/>
    <xf numFmtId="165" fontId="0" fillId="10" borderId="0" xfId="0" applyNumberFormat="1" applyFill="1"/>
    <xf numFmtId="0" fontId="0" fillId="10" borderId="0" xfId="0" applyFill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/>
    <xf numFmtId="2" fontId="2" fillId="0" borderId="0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165" fontId="14" fillId="0" borderId="0" xfId="0" applyNumberFormat="1" applyFont="1" applyAlignment="1">
      <alignment horizontal="left" vertical="center"/>
    </xf>
    <xf numFmtId="2" fontId="13" fillId="0" borderId="0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 textRotation="90"/>
    </xf>
    <xf numFmtId="165" fontId="2" fillId="0" borderId="8" xfId="0" applyNumberFormat="1" applyFont="1" applyBorder="1" applyAlignment="1">
      <alignment horizontal="center" textRotation="90"/>
    </xf>
    <xf numFmtId="0" fontId="0" fillId="0" borderId="0" xfId="0" applyBorder="1"/>
    <xf numFmtId="2" fontId="1" fillId="4" borderId="6" xfId="0" applyNumberFormat="1" applyFont="1" applyFill="1" applyBorder="1" applyAlignment="1">
      <alignment horizontal="center"/>
    </xf>
    <xf numFmtId="2" fontId="18" fillId="4" borderId="0" xfId="0" applyNumberFormat="1" applyFont="1" applyFill="1" applyBorder="1" applyAlignment="1">
      <alignment horizontal="center" vertical="center"/>
    </xf>
    <xf numFmtId="2" fontId="46" fillId="0" borderId="0" xfId="0" applyNumberFormat="1" applyFont="1" applyBorder="1"/>
    <xf numFmtId="2" fontId="0" fillId="5" borderId="0" xfId="0" applyNumberFormat="1" applyFill="1" applyBorder="1"/>
    <xf numFmtId="2" fontId="45" fillId="5" borderId="0" xfId="0" applyNumberFormat="1" applyFont="1" applyFill="1" applyBorder="1"/>
    <xf numFmtId="164" fontId="18" fillId="0" borderId="0" xfId="0" applyNumberFormat="1" applyFont="1" applyBorder="1"/>
    <xf numFmtId="164" fontId="0" fillId="0" borderId="0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wrapText="1"/>
    </xf>
    <xf numFmtId="164" fontId="0" fillId="0" borderId="1" xfId="0" applyNumberFormat="1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1" fontId="46" fillId="0" borderId="8" xfId="0" applyNumberFormat="1" applyFont="1" applyBorder="1"/>
    <xf numFmtId="1" fontId="0" fillId="0" borderId="8" xfId="0" applyNumberFormat="1" applyBorder="1"/>
    <xf numFmtId="0" fontId="1" fillId="10" borderId="2" xfId="0" applyFont="1" applyFill="1" applyBorder="1"/>
    <xf numFmtId="1" fontId="0" fillId="10" borderId="8" xfId="0" applyNumberFormat="1" applyFill="1" applyBorder="1"/>
    <xf numFmtId="0" fontId="1" fillId="8" borderId="2" xfId="0" applyFont="1" applyFill="1" applyBorder="1"/>
    <xf numFmtId="1" fontId="1" fillId="8" borderId="8" xfId="0" applyNumberFormat="1" applyFont="1" applyFill="1" applyBorder="1"/>
    <xf numFmtId="1" fontId="10" fillId="0" borderId="8" xfId="0" applyNumberFormat="1" applyFont="1" applyBorder="1"/>
    <xf numFmtId="0" fontId="1" fillId="9" borderId="2" xfId="0" applyFont="1" applyFill="1" applyBorder="1"/>
    <xf numFmtId="1" fontId="0" fillId="9" borderId="8" xfId="0" applyNumberFormat="1" applyFill="1" applyBorder="1"/>
    <xf numFmtId="1" fontId="18" fillId="0" borderId="8" xfId="0" applyNumberFormat="1" applyFont="1" applyBorder="1"/>
    <xf numFmtId="0" fontId="0" fillId="0" borderId="5" xfId="0" applyBorder="1"/>
    <xf numFmtId="0" fontId="25" fillId="0" borderId="4" xfId="0" applyFont="1" applyBorder="1"/>
    <xf numFmtId="1" fontId="25" fillId="0" borderId="4" xfId="0" applyNumberFormat="1" applyFont="1" applyBorder="1"/>
    <xf numFmtId="0" fontId="1" fillId="0" borderId="3" xfId="0" applyFont="1" applyBorder="1"/>
    <xf numFmtId="0" fontId="1" fillId="0" borderId="1" xfId="0" applyFont="1" applyBorder="1"/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1" fontId="0" fillId="0" borderId="2" xfId="0" applyNumberFormat="1" applyBorder="1"/>
    <xf numFmtId="165" fontId="46" fillId="0" borderId="0" xfId="0" applyNumberFormat="1" applyFont="1" applyBorder="1"/>
    <xf numFmtId="165" fontId="46" fillId="0" borderId="8" xfId="0" applyNumberFormat="1" applyFont="1" applyBorder="1"/>
    <xf numFmtId="165" fontId="0" fillId="0" borderId="0" xfId="0" applyNumberFormat="1" applyBorder="1"/>
    <xf numFmtId="165" fontId="0" fillId="0" borderId="8" xfId="0" applyNumberFormat="1" applyBorder="1"/>
    <xf numFmtId="1" fontId="0" fillId="10" borderId="2" xfId="0" applyNumberFormat="1" applyFill="1" applyBorder="1"/>
    <xf numFmtId="165" fontId="0" fillId="10" borderId="0" xfId="0" applyNumberFormat="1" applyFill="1" applyBorder="1"/>
    <xf numFmtId="165" fontId="0" fillId="10" borderId="8" xfId="0" applyNumberFormat="1" applyFill="1" applyBorder="1"/>
    <xf numFmtId="1" fontId="0" fillId="8" borderId="2" xfId="0" applyNumberFormat="1" applyFill="1" applyBorder="1"/>
    <xf numFmtId="165" fontId="0" fillId="8" borderId="0" xfId="0" applyNumberFormat="1" applyFill="1" applyBorder="1"/>
    <xf numFmtId="165" fontId="0" fillId="8" borderId="8" xfId="0" applyNumberFormat="1" applyFill="1" applyBorder="1"/>
    <xf numFmtId="1" fontId="0" fillId="9" borderId="2" xfId="0" applyNumberFormat="1" applyFill="1" applyBorder="1"/>
    <xf numFmtId="165" fontId="0" fillId="9" borderId="0" xfId="0" applyNumberFormat="1" applyFill="1" applyBorder="1"/>
    <xf numFmtId="165" fontId="0" fillId="9" borderId="8" xfId="0" applyNumberFormat="1" applyFill="1" applyBorder="1"/>
    <xf numFmtId="1" fontId="0" fillId="0" borderId="5" xfId="0" applyNumberFormat="1" applyBorder="1"/>
    <xf numFmtId="1" fontId="0" fillId="0" borderId="4" xfId="0" applyNumberFormat="1" applyBorder="1"/>
    <xf numFmtId="1" fontId="10" fillId="0" borderId="4" xfId="0" applyNumberFormat="1" applyFont="1" applyBorder="1"/>
    <xf numFmtId="165" fontId="0" fillId="0" borderId="4" xfId="0" applyNumberFormat="1" applyBorder="1"/>
    <xf numFmtId="165" fontId="0" fillId="0" borderId="9" xfId="0" applyNumberFormat="1" applyBorder="1"/>
  </cellXfs>
  <cellStyles count="3">
    <cellStyle name="Hyperlink" xfId="1" builtinId="8"/>
    <cellStyle name="Hyperlink 2" xfId="2"/>
    <cellStyle name="Standard" xfId="0" builtinId="0"/>
  </cellStyles>
  <dxfs count="0"/>
  <tableStyles count="0" defaultTableStyle="TableStyleMedium2" defaultPivotStyle="PivotStyleLight16"/>
  <colors>
    <mruColors>
      <color rgb="FFCC0000"/>
      <color rgb="FFF616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xVal>
            <c:numRef>
              <c:f>Schmitz!$A$10:$A$18</c:f>
              <c:numCache>
                <c:formatCode>General</c:formatCode>
                <c:ptCount val="9"/>
                <c:pt idx="0">
                  <c:v>1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0.25</c:v>
                </c:pt>
              </c:numCache>
            </c:numRef>
          </c:xVal>
          <c:yVal>
            <c:numRef>
              <c:f>Schmitz!$L$10:$L$18</c:f>
              <c:numCache>
                <c:formatCode>0.00</c:formatCode>
                <c:ptCount val="9"/>
                <c:pt idx="0">
                  <c:v>5.2408282671398521</c:v>
                </c:pt>
                <c:pt idx="1">
                  <c:v>5.672964300511083</c:v>
                </c:pt>
                <c:pt idx="2">
                  <c:v>6.8216881140984427</c:v>
                </c:pt>
                <c:pt idx="3">
                  <c:v>8.2693753978213014</c:v>
                </c:pt>
                <c:pt idx="4">
                  <c:v>10.143817369652471</c:v>
                </c:pt>
                <c:pt idx="5">
                  <c:v>12.651623547539668</c:v>
                </c:pt>
                <c:pt idx="6">
                  <c:v>16.141077644978473</c:v>
                </c:pt>
                <c:pt idx="7">
                  <c:v>21.216710995735639</c:v>
                </c:pt>
                <c:pt idx="8">
                  <c:v>24.649118869697354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533440"/>
        <c:axId val="171538624"/>
      </c:scatterChart>
      <c:scatterChart>
        <c:scatterStyle val="smoothMarker"/>
        <c:varyColors val="0"/>
        <c:ser>
          <c:idx val="1"/>
          <c:order val="1"/>
          <c:spPr>
            <a:ln>
              <a:solidFill>
                <a:srgbClr val="F6169B"/>
              </a:solidFill>
            </a:ln>
          </c:spPr>
          <c:marker>
            <c:symbol val="square"/>
            <c:size val="6"/>
          </c:marker>
          <c:xVal>
            <c:numRef>
              <c:f>Schmitz!$A$10:$A$18</c:f>
              <c:numCache>
                <c:formatCode>General</c:formatCode>
                <c:ptCount val="9"/>
                <c:pt idx="0">
                  <c:v>1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0.25</c:v>
                </c:pt>
              </c:numCache>
            </c:numRef>
          </c:xVal>
          <c:yVal>
            <c:numRef>
              <c:f>Schmitz!$M$10:$M$20</c:f>
              <c:numCache>
                <c:formatCode>0.0</c:formatCode>
                <c:ptCount val="11"/>
                <c:pt idx="0">
                  <c:v>234.65654205031956</c:v>
                </c:pt>
                <c:pt idx="1">
                  <c:v>244.16099120341303</c:v>
                </c:pt>
                <c:pt idx="2">
                  <c:v>271.47817983750576</c:v>
                </c:pt>
                <c:pt idx="3">
                  <c:v>305.09077812377802</c:v>
                </c:pt>
                <c:pt idx="4">
                  <c:v>347.07581639019747</c:v>
                </c:pt>
                <c:pt idx="5">
                  <c:v>400.10184457560177</c:v>
                </c:pt>
                <c:pt idx="6">
                  <c:v>466.76139305006029</c:v>
                </c:pt>
                <c:pt idx="7">
                  <c:v>545.535328831794</c:v>
                </c:pt>
                <c:pt idx="8">
                  <c:v>584.03840311964507</c:v>
                </c:pt>
                <c:pt idx="10">
                  <c:v>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539776"/>
        <c:axId val="171539200"/>
      </c:scatterChart>
      <c:valAx>
        <c:axId val="171533440"/>
        <c:scaling>
          <c:orientation val="minMax"/>
          <c:max val="1"/>
        </c:scaling>
        <c:delete val="0"/>
        <c:axPos val="b"/>
        <c:numFmt formatCode="General" sourceLinked="1"/>
        <c:majorTickMark val="out"/>
        <c:minorTickMark val="none"/>
        <c:tickLblPos val="nextTo"/>
        <c:crossAx val="171538624"/>
        <c:crosses val="autoZero"/>
        <c:crossBetween val="midCat"/>
      </c:valAx>
      <c:valAx>
        <c:axId val="171538624"/>
        <c:scaling>
          <c:orientation val="minMax"/>
          <c:max val="20"/>
          <c:min val="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71533440"/>
        <c:crosses val="autoZero"/>
        <c:crossBetween val="midCat"/>
      </c:valAx>
      <c:valAx>
        <c:axId val="171539200"/>
        <c:scaling>
          <c:orientation val="minMax"/>
          <c:max val="400"/>
        </c:scaling>
        <c:delete val="0"/>
        <c:axPos val="r"/>
        <c:numFmt formatCode="0" sourceLinked="0"/>
        <c:majorTickMark val="out"/>
        <c:minorTickMark val="none"/>
        <c:tickLblPos val="nextTo"/>
        <c:crossAx val="171539776"/>
        <c:crosses val="max"/>
        <c:crossBetween val="midCat"/>
      </c:valAx>
      <c:valAx>
        <c:axId val="17153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15392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1"/>
          <c:tx>
            <c:v>Profilbreite_Schmitz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Lit>
              <c:formatCode>General</c:formatCode>
              <c:ptCount val="12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732672"/>
        <c:axId val="141733248"/>
      </c:scatterChart>
      <c:scatterChart>
        <c:scatterStyle val="lineMarker"/>
        <c:varyColors val="0"/>
        <c:ser>
          <c:idx val="0"/>
          <c:order val="0"/>
          <c:tx>
            <c:v>Einstellwinkel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12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733824"/>
        <c:axId val="141734400"/>
      </c:scatterChart>
      <c:valAx>
        <c:axId val="141732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1733248"/>
        <c:crosses val="autoZero"/>
        <c:crossBetween val="midCat"/>
      </c:valAx>
      <c:valAx>
        <c:axId val="141733248"/>
        <c:scaling>
          <c:orientation val="minMax"/>
          <c:max val="450"/>
        </c:scaling>
        <c:delete val="0"/>
        <c:axPos val="r"/>
        <c:title>
          <c:tx>
            <c:rich>
              <a:bodyPr/>
              <a:lstStyle/>
              <a:p>
                <a:pPr>
                  <a:defRPr sz="2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mm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732672"/>
        <c:crosses val="max"/>
        <c:crossBetween val="midCat"/>
        <c:minorUnit val="20"/>
      </c:valAx>
      <c:valAx>
        <c:axId val="141733824"/>
        <c:scaling>
          <c:orientation val="minMax"/>
          <c:max val="1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734400"/>
        <c:crosses val="autoZero"/>
        <c:crossBetween val="midCat"/>
        <c:majorUnit val="0.1"/>
      </c:valAx>
      <c:valAx>
        <c:axId val="141734400"/>
        <c:scaling>
          <c:orientation val="minMax"/>
          <c:max val="4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°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733824"/>
        <c:crosses val="autoZero"/>
        <c:crossBetween val="midCat"/>
        <c:majorUnit val="5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2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1"/>
          <c:xVal>
            <c:numRef>
              <c:f>Betz!$A$10:$A$18</c:f>
              <c:numCache>
                <c:formatCode>General</c:formatCode>
                <c:ptCount val="9"/>
                <c:pt idx="0">
                  <c:v>1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0.25</c:v>
                </c:pt>
              </c:numCache>
            </c:numRef>
          </c:xVal>
          <c:yVal>
            <c:numRef>
              <c:f>Betz!$M$10:$M$20</c:f>
              <c:numCache>
                <c:formatCode>0.0</c:formatCode>
                <c:ptCount val="11"/>
                <c:pt idx="0">
                  <c:v>240.68607527582546</c:v>
                </c:pt>
                <c:pt idx="1">
                  <c:v>251.87727655517983</c:v>
                </c:pt>
                <c:pt idx="2">
                  <c:v>282.2803183310516</c:v>
                </c:pt>
                <c:pt idx="3">
                  <c:v>320.82818855508265</c:v>
                </c:pt>
                <c:pt idx="4">
                  <c:v>371.16980854451651</c:v>
                </c:pt>
                <c:pt idx="5">
                  <c:v>439.37754608713874</c:v>
                </c:pt>
                <c:pt idx="6">
                  <c:v>536.11918919033519</c:v>
                </c:pt>
                <c:pt idx="7">
                  <c:v>680.98525257813424</c:v>
                </c:pt>
                <c:pt idx="8">
                  <c:v>781.65505028655571</c:v>
                </c:pt>
                <c:pt idx="10">
                  <c:v>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736128"/>
        <c:axId val="141736704"/>
      </c:scatterChart>
      <c:scatterChart>
        <c:scatterStyle val="lineMarker"/>
        <c:varyColors val="0"/>
        <c:ser>
          <c:idx val="0"/>
          <c:order val="0"/>
          <c:xVal>
            <c:numRef>
              <c:f>Betz!$A$10:$A$18</c:f>
              <c:numCache>
                <c:formatCode>General</c:formatCode>
                <c:ptCount val="9"/>
                <c:pt idx="0">
                  <c:v>1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0.25</c:v>
                </c:pt>
              </c:numCache>
            </c:numRef>
          </c:xVal>
          <c:yVal>
            <c:numRef>
              <c:f>Betz!$L$10:$L$20</c:f>
              <c:numCache>
                <c:formatCode>0.00</c:formatCode>
                <c:ptCount val="11"/>
                <c:pt idx="0">
                  <c:v>5.3261802472893258</c:v>
                </c:pt>
                <c:pt idx="1">
                  <c:v>5.7888168738880115</c:v>
                </c:pt>
                <c:pt idx="2">
                  <c:v>6.9842538268875209</c:v>
                </c:pt>
                <c:pt idx="3">
                  <c:v>8.5070080927665117</c:v>
                </c:pt>
                <c:pt idx="4">
                  <c:v>10.509446450766626</c:v>
                </c:pt>
                <c:pt idx="5">
                  <c:v>13.252295915207938</c:v>
                </c:pt>
                <c:pt idx="6">
                  <c:v>17.215726054478704</c:v>
                </c:pt>
                <c:pt idx="7">
                  <c:v>23.365495613426113</c:v>
                </c:pt>
                <c:pt idx="8">
                  <c:v>27.844596787700386</c:v>
                </c:pt>
                <c:pt idx="9">
                  <c:v>33.825066493603458</c:v>
                </c:pt>
                <c:pt idx="10">
                  <c:v>53.217892208524418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443328"/>
        <c:axId val="141737280"/>
      </c:scatterChart>
      <c:valAx>
        <c:axId val="141736128"/>
        <c:scaling>
          <c:orientation val="minMax"/>
          <c:max val="1"/>
        </c:scaling>
        <c:delete val="0"/>
        <c:axPos val="b"/>
        <c:numFmt formatCode="General" sourceLinked="1"/>
        <c:majorTickMark val="out"/>
        <c:minorTickMark val="none"/>
        <c:tickLblPos val="nextTo"/>
        <c:crossAx val="141736704"/>
        <c:crosses val="autoZero"/>
        <c:crossBetween val="midCat"/>
      </c:valAx>
      <c:valAx>
        <c:axId val="141736704"/>
        <c:scaling>
          <c:orientation val="minMax"/>
          <c:max val="20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41736128"/>
        <c:crosses val="autoZero"/>
        <c:crossBetween val="midCat"/>
        <c:majorUnit val="20"/>
      </c:valAx>
      <c:valAx>
        <c:axId val="141737280"/>
        <c:scaling>
          <c:orientation val="minMax"/>
          <c:max val="20"/>
        </c:scaling>
        <c:delete val="0"/>
        <c:axPos val="r"/>
        <c:numFmt formatCode="0" sourceLinked="0"/>
        <c:majorTickMark val="out"/>
        <c:minorTickMark val="none"/>
        <c:tickLblPos val="nextTo"/>
        <c:crossAx val="169443328"/>
        <c:crosses val="max"/>
        <c:crossBetween val="midCat"/>
        <c:majorUnit val="2"/>
      </c:valAx>
      <c:valAx>
        <c:axId val="169443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17372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chart" Target="../charts/chart2.xml"/><Relationship Id="rId6" Type="http://schemas.openxmlformats.org/officeDocument/2006/relationships/image" Target="../media/image8.jpeg"/><Relationship Id="rId5" Type="http://schemas.openxmlformats.org/officeDocument/2006/relationships/chart" Target="../charts/chart3.xml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180340</xdr:colOff>
      <xdr:row>20</xdr:row>
      <xdr:rowOff>66886</xdr:rowOff>
    </xdr:from>
    <xdr:to>
      <xdr:col>21</xdr:col>
      <xdr:colOff>637540</xdr:colOff>
      <xdr:row>39</xdr:row>
      <xdr:rowOff>51646</xdr:rowOff>
    </xdr:to>
    <xdr:pic>
      <xdr:nvPicPr>
        <xdr:cNvPr id="7453" name="Picture 3" descr="Cp_Vorbestimmu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3073" y="2522219"/>
          <a:ext cx="5232400" cy="3684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216746</xdr:colOff>
      <xdr:row>1</xdr:row>
      <xdr:rowOff>5081</xdr:rowOff>
    </xdr:from>
    <xdr:to>
      <xdr:col>17</xdr:col>
      <xdr:colOff>176953</xdr:colOff>
      <xdr:row>17</xdr:row>
      <xdr:rowOff>33866</xdr:rowOff>
    </xdr:to>
    <xdr:pic>
      <xdr:nvPicPr>
        <xdr:cNvPr id="7454" name="Picture 26" descr="i_61_1134_0_7_1356807534_4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1879" y="199814"/>
          <a:ext cx="5285740" cy="177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39</xdr:row>
      <xdr:rowOff>22860</xdr:rowOff>
    </xdr:from>
    <xdr:to>
      <xdr:col>6</xdr:col>
      <xdr:colOff>68580</xdr:colOff>
      <xdr:row>43</xdr:row>
      <xdr:rowOff>15240</xdr:rowOff>
    </xdr:to>
    <xdr:pic>
      <xdr:nvPicPr>
        <xdr:cNvPr id="1354" name="Picture 27" descr="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615940"/>
          <a:ext cx="27889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259080</xdr:colOff>
      <xdr:row>48</xdr:row>
      <xdr:rowOff>0</xdr:rowOff>
    </xdr:from>
    <xdr:to>
      <xdr:col>18</xdr:col>
      <xdr:colOff>487680</xdr:colOff>
      <xdr:row>77</xdr:row>
      <xdr:rowOff>15240</xdr:rowOff>
    </xdr:to>
    <xdr:pic>
      <xdr:nvPicPr>
        <xdr:cNvPr id="1359" name="Picture 51" descr="Blattelement_Schmitz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6995160"/>
          <a:ext cx="9304020" cy="377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21</xdr:row>
      <xdr:rowOff>7620</xdr:rowOff>
    </xdr:from>
    <xdr:to>
      <xdr:col>18</xdr:col>
      <xdr:colOff>617220</xdr:colOff>
      <xdr:row>38</xdr:row>
      <xdr:rowOff>38100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55110</xdr:colOff>
      <xdr:row>0</xdr:row>
      <xdr:rowOff>1</xdr:rowOff>
    </xdr:from>
    <xdr:to>
      <xdr:col>12</xdr:col>
      <xdr:colOff>739139</xdr:colOff>
      <xdr:row>5</xdr:row>
      <xdr:rowOff>7620</xdr:rowOff>
    </xdr:to>
    <xdr:pic>
      <xdr:nvPicPr>
        <xdr:cNvPr id="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11970" y="1"/>
          <a:ext cx="1354589" cy="83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18</xdr:col>
      <xdr:colOff>0</xdr:colOff>
      <xdr:row>0</xdr:row>
      <xdr:rowOff>0</xdr:rowOff>
    </xdr:to>
    <xdr:graphicFrame macro="">
      <xdr:nvGraphicFramePr>
        <xdr:cNvPr id="6350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213360</xdr:colOff>
      <xdr:row>50</xdr:row>
      <xdr:rowOff>38100</xdr:rowOff>
    </xdr:from>
    <xdr:to>
      <xdr:col>17</xdr:col>
      <xdr:colOff>281940</xdr:colOff>
      <xdr:row>75</xdr:row>
      <xdr:rowOff>91440</xdr:rowOff>
    </xdr:to>
    <xdr:pic>
      <xdr:nvPicPr>
        <xdr:cNvPr id="6352" name="Picture 32" descr="Blattelement_Betz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7307580"/>
          <a:ext cx="8641080" cy="3291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32466</xdr:colOff>
      <xdr:row>0</xdr:row>
      <xdr:rowOff>22860</xdr:rowOff>
    </xdr:from>
    <xdr:to>
      <xdr:col>12</xdr:col>
      <xdr:colOff>607096</xdr:colOff>
      <xdr:row>5</xdr:row>
      <xdr:rowOff>350520</xdr:rowOff>
    </xdr:to>
    <xdr:pic>
      <xdr:nvPicPr>
        <xdr:cNvPr id="635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17826" y="22860"/>
          <a:ext cx="184717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43</xdr:row>
      <xdr:rowOff>45720</xdr:rowOff>
    </xdr:from>
    <xdr:to>
      <xdr:col>9</xdr:col>
      <xdr:colOff>144780</xdr:colOff>
      <xdr:row>48</xdr:row>
      <xdr:rowOff>76200</xdr:rowOff>
    </xdr:to>
    <xdr:pic>
      <xdr:nvPicPr>
        <xdr:cNvPr id="6354" name="Picture 40" descr="Gleichung 5-3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6278880"/>
          <a:ext cx="44043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21</xdr:row>
      <xdr:rowOff>19050</xdr:rowOff>
    </xdr:from>
    <xdr:to>
      <xdr:col>17</xdr:col>
      <xdr:colOff>434340</xdr:colOff>
      <xdr:row>37</xdr:row>
      <xdr:rowOff>15240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350521</xdr:colOff>
      <xdr:row>38</xdr:row>
      <xdr:rowOff>29792</xdr:rowOff>
    </xdr:from>
    <xdr:to>
      <xdr:col>3</xdr:col>
      <xdr:colOff>510541</xdr:colOff>
      <xdr:row>42</xdr:row>
      <xdr:rowOff>32973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1000" contras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1" y="5554292"/>
          <a:ext cx="1699260" cy="582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lobalwindatlas.info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de.wikipedia.org/wiki/Sparkassenformel" TargetMode="External"/><Relationship Id="rId1" Type="http://schemas.openxmlformats.org/officeDocument/2006/relationships/hyperlink" Target="http://www.udo-leuschner.de/energie-chronik/120506.htm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06"/>
  <sheetViews>
    <sheetView tabSelected="1" topLeftCell="A23" zoomScale="90" zoomScaleNormal="90" workbookViewId="0">
      <selection activeCell="I26" sqref="I26"/>
    </sheetView>
  </sheetViews>
  <sheetFormatPr baseColWidth="10" defaultRowHeight="13.2" x14ac:dyDescent="0.25"/>
  <cols>
    <col min="1" max="1" width="24.109375" customWidth="1"/>
    <col min="2" max="2" width="8.33203125" customWidth="1"/>
    <col min="3" max="3" width="9.109375" customWidth="1"/>
    <col min="4" max="4" width="9.5546875" customWidth="1"/>
    <col min="5" max="5" width="11.109375" style="101" customWidth="1"/>
    <col min="6" max="6" width="9.21875" customWidth="1"/>
    <col min="7" max="7" width="13.6640625" style="43" customWidth="1"/>
    <col min="8" max="8" width="5.88671875" customWidth="1"/>
    <col min="9" max="9" width="5.88671875" style="283" customWidth="1"/>
    <col min="10" max="10" width="7.109375" customWidth="1"/>
    <col min="11" max="11" width="5.77734375" style="283" customWidth="1"/>
    <col min="12" max="12" width="7.44140625" customWidth="1"/>
    <col min="13" max="15" width="7.44140625" style="283" customWidth="1"/>
  </cols>
  <sheetData>
    <row r="1" spans="1:31" ht="15.6" x14ac:dyDescent="0.3">
      <c r="A1" s="171" t="s">
        <v>63</v>
      </c>
      <c r="B1" s="118"/>
      <c r="C1" s="118"/>
      <c r="D1" s="118"/>
      <c r="E1" s="119"/>
      <c r="F1" s="118"/>
      <c r="G1" s="148"/>
    </row>
    <row r="2" spans="1:31" ht="13.8" thickBot="1" x14ac:dyDescent="0.3">
      <c r="A2" s="183" t="s">
        <v>85</v>
      </c>
      <c r="B2" s="118"/>
      <c r="C2" s="118"/>
      <c r="D2" s="118"/>
      <c r="E2" s="119"/>
    </row>
    <row r="3" spans="1:31" ht="13.8" thickBot="1" x14ac:dyDescent="0.3">
      <c r="A3" s="387" t="s">
        <v>24</v>
      </c>
      <c r="B3" s="388"/>
      <c r="C3" s="388"/>
      <c r="D3" s="121" t="s">
        <v>25</v>
      </c>
      <c r="E3" s="389" t="s">
        <v>80</v>
      </c>
      <c r="F3" s="390"/>
      <c r="G3" s="391"/>
    </row>
    <row r="4" spans="1:31" s="33" customFormat="1" x14ac:dyDescent="0.25">
      <c r="A4" s="387" t="s">
        <v>114</v>
      </c>
      <c r="B4" s="388"/>
      <c r="C4" s="388"/>
      <c r="D4" s="260" t="s">
        <v>94</v>
      </c>
      <c r="E4" s="179"/>
      <c r="F4" s="123"/>
      <c r="G4" s="177"/>
    </row>
    <row r="5" spans="1:31" s="33" customFormat="1" x14ac:dyDescent="0.25">
      <c r="A5" s="120"/>
      <c r="B5" s="120"/>
      <c r="C5" s="120"/>
      <c r="D5" s="124"/>
      <c r="E5" s="179"/>
      <c r="F5" s="123"/>
      <c r="G5" s="177"/>
    </row>
    <row r="6" spans="1:31" s="33" customFormat="1" ht="13.8" thickBot="1" x14ac:dyDescent="0.3">
      <c r="A6" s="120"/>
      <c r="B6" s="120"/>
      <c r="C6" s="144" t="s">
        <v>67</v>
      </c>
      <c r="D6" s="277">
        <f>D15/2*D28^3*D30*D16*D26*8765/1000</f>
        <v>1640.9556212731316</v>
      </c>
      <c r="E6" s="180"/>
      <c r="F6" s="123"/>
      <c r="G6" s="178"/>
    </row>
    <row r="7" spans="1:31" s="33" customFormat="1" ht="13.8" thickBot="1" x14ac:dyDescent="0.3">
      <c r="A7" s="262" t="s">
        <v>105</v>
      </c>
      <c r="B7" s="100"/>
      <c r="C7" s="35" t="s">
        <v>34</v>
      </c>
      <c r="D7" s="271">
        <v>1640.9556212731316</v>
      </c>
      <c r="E7" s="227"/>
      <c r="F7" s="123"/>
      <c r="G7" s="178"/>
    </row>
    <row r="8" spans="1:31" s="33" customFormat="1" hidden="1" x14ac:dyDescent="0.25">
      <c r="A8" s="150" t="s">
        <v>36</v>
      </c>
      <c r="B8" s="123"/>
      <c r="C8" s="125" t="s">
        <v>35</v>
      </c>
      <c r="D8" s="126">
        <v>0.25</v>
      </c>
      <c r="E8" s="227" t="s">
        <v>95</v>
      </c>
      <c r="F8" s="127"/>
      <c r="G8" s="228"/>
    </row>
    <row r="9" spans="1:31" s="33" customFormat="1" hidden="1" x14ac:dyDescent="0.25">
      <c r="A9" s="150" t="s">
        <v>87</v>
      </c>
      <c r="B9" s="112" t="s">
        <v>96</v>
      </c>
      <c r="C9" s="125" t="s">
        <v>68</v>
      </c>
      <c r="D9" s="219">
        <v>6</v>
      </c>
      <c r="E9" s="229" t="s">
        <v>90</v>
      </c>
      <c r="F9" s="127"/>
      <c r="G9" s="230" t="s">
        <v>91</v>
      </c>
    </row>
    <row r="10" spans="1:31" s="33" customFormat="1" hidden="1" x14ac:dyDescent="0.25">
      <c r="A10" s="150" t="s">
        <v>106</v>
      </c>
      <c r="B10" s="112" t="s">
        <v>107</v>
      </c>
      <c r="C10" s="125" t="s">
        <v>35</v>
      </c>
      <c r="D10" s="130">
        <f>D7*D8</f>
        <v>410.23890531828289</v>
      </c>
      <c r="E10" s="227"/>
      <c r="F10" s="127"/>
      <c r="G10" s="228"/>
    </row>
    <row r="11" spans="1:31" s="33" customFormat="1" hidden="1" x14ac:dyDescent="0.25">
      <c r="A11" s="34" t="s">
        <v>92</v>
      </c>
      <c r="B11" s="220" t="s">
        <v>93</v>
      </c>
      <c r="D11" s="220">
        <f>1+D9/100</f>
        <v>1.06</v>
      </c>
      <c r="E11" s="229"/>
      <c r="F11" s="127"/>
      <c r="G11" s="228"/>
    </row>
    <row r="12" spans="1:31" s="33" customFormat="1" hidden="1" x14ac:dyDescent="0.25">
      <c r="A12" s="150" t="s">
        <v>88</v>
      </c>
      <c r="B12" s="112" t="s">
        <v>48</v>
      </c>
      <c r="C12" s="125" t="s">
        <v>6</v>
      </c>
      <c r="D12" s="126">
        <v>10</v>
      </c>
      <c r="E12" s="229"/>
      <c r="F12" s="127"/>
      <c r="G12" s="228"/>
    </row>
    <row r="13" spans="1:31" s="33" customFormat="1" hidden="1" x14ac:dyDescent="0.25">
      <c r="A13" s="224" t="s">
        <v>89</v>
      </c>
      <c r="C13" s="125" t="s">
        <v>35</v>
      </c>
      <c r="D13" s="226">
        <f>D10*(D11^D12-1)/(D11-1)</f>
        <v>5407.2748883870991</v>
      </c>
      <c r="E13" s="231" t="s">
        <v>97</v>
      </c>
      <c r="F13" s="127"/>
      <c r="G13" s="253" t="s">
        <v>85</v>
      </c>
    </row>
    <row r="14" spans="1:31" s="33" customFormat="1" x14ac:dyDescent="0.25">
      <c r="A14" s="221"/>
      <c r="B14" s="222"/>
      <c r="C14" s="130"/>
      <c r="D14" s="223"/>
      <c r="E14" s="227"/>
      <c r="F14" s="127"/>
      <c r="G14" s="228"/>
    </row>
    <row r="15" spans="1:31" s="33" customFormat="1" x14ac:dyDescent="0.25">
      <c r="A15" s="127" t="s">
        <v>38</v>
      </c>
      <c r="B15" s="128" t="s">
        <v>4</v>
      </c>
      <c r="C15" s="112" t="s">
        <v>32</v>
      </c>
      <c r="D15" s="121">
        <v>1.2250000000000001</v>
      </c>
      <c r="E15" s="232"/>
      <c r="F15" s="127"/>
      <c r="G15" s="176"/>
    </row>
    <row r="16" spans="1:31" s="33" customFormat="1" ht="14.25" customHeight="1" thickBot="1" x14ac:dyDescent="0.3">
      <c r="A16" s="127" t="s">
        <v>64</v>
      </c>
      <c r="B16" s="129"/>
      <c r="C16" s="112"/>
      <c r="D16" s="121">
        <v>1.8</v>
      </c>
      <c r="E16" s="175"/>
      <c r="F16" s="123"/>
      <c r="G16" s="254" t="s">
        <v>104</v>
      </c>
      <c r="L16" s="31"/>
      <c r="M16" s="31"/>
      <c r="N16" s="31"/>
      <c r="O16" s="31"/>
      <c r="X16" s="182"/>
      <c r="Y16" s="182"/>
      <c r="Z16" s="182"/>
      <c r="AA16" s="182"/>
      <c r="AB16" s="182"/>
      <c r="AC16" s="182"/>
      <c r="AD16" s="182"/>
      <c r="AE16" s="182"/>
    </row>
    <row r="17" spans="1:31" s="33" customFormat="1" ht="13.8" thickBot="1" x14ac:dyDescent="0.3">
      <c r="A17" s="265" t="s">
        <v>27</v>
      </c>
      <c r="B17" s="128" t="s">
        <v>137</v>
      </c>
      <c r="C17" s="112"/>
      <c r="D17" s="403">
        <v>4.2934275832522157</v>
      </c>
      <c r="E17" s="233"/>
      <c r="F17" s="127"/>
      <c r="G17" s="228"/>
      <c r="H17" s="31"/>
      <c r="I17" s="31"/>
      <c r="J17" s="31"/>
      <c r="K17" s="31"/>
      <c r="L17" s="31"/>
      <c r="M17" s="31"/>
      <c r="N17" s="31"/>
      <c r="O17" s="31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</row>
    <row r="18" spans="1:31" s="33" customFormat="1" x14ac:dyDescent="0.25">
      <c r="A18" s="150"/>
      <c r="B18" s="125"/>
      <c r="C18" s="112"/>
      <c r="D18" s="126"/>
      <c r="E18" s="233"/>
      <c r="F18" s="127"/>
      <c r="G18" s="228"/>
      <c r="H18" s="34"/>
      <c r="I18" s="34"/>
      <c r="J18" s="170"/>
      <c r="K18" s="170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</row>
    <row r="19" spans="1:31" s="33" customFormat="1" ht="13.8" x14ac:dyDescent="0.25">
      <c r="A19" s="172" t="s">
        <v>81</v>
      </c>
      <c r="B19" s="173" t="s">
        <v>54</v>
      </c>
      <c r="D19" s="174">
        <v>40</v>
      </c>
      <c r="E19" s="233"/>
      <c r="F19" s="127"/>
      <c r="G19" s="228"/>
      <c r="H19" s="360" t="s">
        <v>79</v>
      </c>
      <c r="I19" s="360"/>
      <c r="J19" s="236" t="s">
        <v>64</v>
      </c>
      <c r="K19" s="236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</row>
    <row r="20" spans="1:31" s="33" customFormat="1" x14ac:dyDescent="0.25">
      <c r="A20" s="275" t="s">
        <v>124</v>
      </c>
      <c r="B20" s="129"/>
      <c r="C20" s="112"/>
      <c r="D20" s="279">
        <v>0.44</v>
      </c>
      <c r="E20" s="175" t="s">
        <v>86</v>
      </c>
      <c r="F20" s="127"/>
      <c r="G20" s="234"/>
      <c r="H20" s="169"/>
      <c r="I20" s="169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</row>
    <row r="21" spans="1:31" s="33" customFormat="1" x14ac:dyDescent="0.25">
      <c r="A21" s="127"/>
      <c r="B21" s="129"/>
      <c r="C21" s="112"/>
      <c r="D21" s="124"/>
      <c r="E21" s="233"/>
      <c r="F21" s="127"/>
      <c r="G21" s="234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</row>
    <row r="22" spans="1:31" s="33" customFormat="1" x14ac:dyDescent="0.25">
      <c r="A22" s="275" t="s">
        <v>123</v>
      </c>
      <c r="B22" s="127"/>
      <c r="C22" s="112"/>
      <c r="D22" s="279">
        <v>0.83556149732620333</v>
      </c>
      <c r="E22" s="276" t="s">
        <v>84</v>
      </c>
      <c r="F22" s="275" t="s">
        <v>121</v>
      </c>
      <c r="G22" s="234"/>
    </row>
    <row r="23" spans="1:31" s="33" customFormat="1" x14ac:dyDescent="0.25">
      <c r="A23" s="278" t="s">
        <v>122</v>
      </c>
      <c r="B23" s="127"/>
      <c r="C23" s="112"/>
      <c r="D23" s="121">
        <v>0.85</v>
      </c>
      <c r="E23" s="175" t="s">
        <v>84</v>
      </c>
      <c r="F23" s="275" t="s">
        <v>121</v>
      </c>
      <c r="G23" s="234"/>
      <c r="H23" s="34"/>
      <c r="I23" s="34"/>
      <c r="J23" s="34"/>
      <c r="K23" s="34"/>
      <c r="L23" s="34"/>
      <c r="M23" s="34"/>
      <c r="N23" s="34"/>
      <c r="O23" s="34"/>
    </row>
    <row r="24" spans="1:31" s="33" customFormat="1" ht="15" customHeight="1" x14ac:dyDescent="0.25">
      <c r="A24" s="127" t="s">
        <v>82</v>
      </c>
      <c r="B24" s="127"/>
      <c r="C24" s="112"/>
      <c r="D24" s="121">
        <v>0.96</v>
      </c>
      <c r="E24" s="175" t="s">
        <v>84</v>
      </c>
      <c r="F24" s="275" t="s">
        <v>121</v>
      </c>
      <c r="G24" s="333"/>
      <c r="H24" s="34"/>
      <c r="I24" s="34"/>
      <c r="J24" s="34"/>
      <c r="K24" s="34"/>
      <c r="L24" s="34"/>
      <c r="M24" s="34"/>
      <c r="N24" s="34"/>
      <c r="O24" s="34"/>
    </row>
    <row r="25" spans="1:31" s="33" customFormat="1" x14ac:dyDescent="0.25">
      <c r="A25" s="275" t="s">
        <v>125</v>
      </c>
      <c r="B25" s="129"/>
      <c r="C25" s="112"/>
      <c r="D25" s="122">
        <f>D22*D23*D24</f>
        <v>0.68181818181818188</v>
      </c>
      <c r="E25" s="175"/>
      <c r="F25" s="123"/>
      <c r="G25" s="177"/>
    </row>
    <row r="26" spans="1:31" s="33" customFormat="1" x14ac:dyDescent="0.25">
      <c r="A26" s="224" t="s">
        <v>126</v>
      </c>
      <c r="B26" s="149"/>
      <c r="C26" s="35"/>
      <c r="D26" s="225">
        <f>D20*D25</f>
        <v>0.30000000000000004</v>
      </c>
      <c r="E26" s="179"/>
      <c r="F26" s="123"/>
      <c r="G26" s="177"/>
    </row>
    <row r="27" spans="1:31" s="33" customFormat="1" ht="13.8" thickBot="1" x14ac:dyDescent="0.3">
      <c r="A27" s="150"/>
      <c r="B27" s="128"/>
      <c r="C27" s="118"/>
      <c r="D27" s="130"/>
      <c r="E27" s="180"/>
      <c r="F27" s="123"/>
      <c r="G27" s="178"/>
    </row>
    <row r="28" spans="1:31" s="33" customFormat="1" ht="13.8" thickBot="1" x14ac:dyDescent="0.3">
      <c r="A28" s="263" t="s">
        <v>62</v>
      </c>
      <c r="B28" s="125" t="s">
        <v>37</v>
      </c>
      <c r="C28" s="125" t="s">
        <v>5</v>
      </c>
      <c r="D28" s="261">
        <v>3.5</v>
      </c>
      <c r="E28" s="392" t="s">
        <v>83</v>
      </c>
      <c r="F28" s="393"/>
      <c r="G28" s="181" t="s">
        <v>134</v>
      </c>
    </row>
    <row r="29" spans="1:31" s="33" customFormat="1" x14ac:dyDescent="0.25">
      <c r="F29" s="123"/>
      <c r="G29" s="118"/>
    </row>
    <row r="30" spans="1:31" x14ac:dyDescent="0.25">
      <c r="A30" s="215" t="s">
        <v>61</v>
      </c>
      <c r="B30" s="123"/>
      <c r="C30" s="131" t="s">
        <v>53</v>
      </c>
      <c r="D30" s="189">
        <f>D$7*1000/8765/(D$15/2)/D28^3/D$26/D$16</f>
        <v>13.202036515150077</v>
      </c>
      <c r="E30" s="266" t="s">
        <v>116</v>
      </c>
      <c r="F30" s="406">
        <f>PI()/4*F31^2</f>
        <v>13.202036515150075</v>
      </c>
      <c r="G30" s="125"/>
      <c r="H30" s="281"/>
    </row>
    <row r="31" spans="1:31" x14ac:dyDescent="0.25">
      <c r="A31" s="216" t="s">
        <v>26</v>
      </c>
      <c r="B31" s="217"/>
      <c r="C31" s="218" t="s">
        <v>39</v>
      </c>
      <c r="D31" s="280">
        <f>SQRT(4/PI()*D30)</f>
        <v>4.0999213360900812</v>
      </c>
      <c r="E31" s="404">
        <v>0</v>
      </c>
      <c r="F31" s="407">
        <f>D31+D31*E31/100</f>
        <v>4.0999213360900812</v>
      </c>
      <c r="G31" s="125"/>
      <c r="H31" s="220" t="s">
        <v>55</v>
      </c>
    </row>
    <row r="32" spans="1:31" s="32" customFormat="1" ht="13.8" thickBot="1" x14ac:dyDescent="0.3">
      <c r="A32" s="118"/>
      <c r="B32" s="118"/>
      <c r="C32" s="118"/>
      <c r="D32" s="102"/>
      <c r="E32" s="45"/>
      <c r="F32" s="408"/>
      <c r="G32" s="125"/>
      <c r="H32" s="282">
        <v>1.8333333333333333</v>
      </c>
      <c r="I32" s="282"/>
      <c r="K32" s="282"/>
      <c r="L32" s="220" t="s">
        <v>149</v>
      </c>
      <c r="M32" s="220" t="s">
        <v>150</v>
      </c>
      <c r="N32" s="282">
        <v>4.5</v>
      </c>
      <c r="O32" s="282"/>
    </row>
    <row r="33" spans="1:16" ht="60" x14ac:dyDescent="0.25">
      <c r="A33" s="410" t="s">
        <v>156</v>
      </c>
      <c r="B33" s="411" t="s">
        <v>115</v>
      </c>
      <c r="C33" s="412" t="s">
        <v>56</v>
      </c>
      <c r="D33" s="412"/>
      <c r="E33" s="413"/>
      <c r="F33" s="414"/>
      <c r="G33" s="415"/>
      <c r="H33" s="281"/>
    </row>
    <row r="34" spans="1:16" ht="12.75" customHeight="1" thickBot="1" x14ac:dyDescent="0.3">
      <c r="A34" s="416"/>
      <c r="B34" s="132"/>
      <c r="C34" s="125" t="s">
        <v>40</v>
      </c>
      <c r="D34" s="125" t="s">
        <v>41</v>
      </c>
      <c r="E34" s="131"/>
      <c r="F34" s="409" t="s">
        <v>46</v>
      </c>
      <c r="G34" s="117" t="s">
        <v>47</v>
      </c>
      <c r="H34" s="281"/>
    </row>
    <row r="35" spans="1:16" x14ac:dyDescent="0.25">
      <c r="A35" s="416"/>
      <c r="B35" s="35" t="s">
        <v>45</v>
      </c>
      <c r="C35" s="125" t="s">
        <v>43</v>
      </c>
      <c r="D35" s="35" t="s">
        <v>44</v>
      </c>
      <c r="E35" s="362" t="s">
        <v>138</v>
      </c>
      <c r="F35" s="409" t="s">
        <v>49</v>
      </c>
      <c r="G35" s="117" t="s">
        <v>48</v>
      </c>
      <c r="H35" s="431" t="s">
        <v>139</v>
      </c>
      <c r="I35" s="432" t="s">
        <v>147</v>
      </c>
      <c r="J35" s="433" t="s">
        <v>152</v>
      </c>
      <c r="K35" s="434" t="s">
        <v>142</v>
      </c>
      <c r="L35" s="434" t="s">
        <v>141</v>
      </c>
      <c r="M35" s="435" t="s">
        <v>143</v>
      </c>
      <c r="N35" s="220" t="s">
        <v>144</v>
      </c>
      <c r="O35" s="220" t="s">
        <v>151</v>
      </c>
    </row>
    <row r="36" spans="1:16" ht="15.6" x14ac:dyDescent="0.25">
      <c r="A36" s="417"/>
      <c r="B36" s="125" t="s">
        <v>5</v>
      </c>
      <c r="C36" s="125" t="s">
        <v>42</v>
      </c>
      <c r="D36" s="125" t="s">
        <v>42</v>
      </c>
      <c r="E36" s="362" t="s">
        <v>42</v>
      </c>
      <c r="F36" s="409" t="s">
        <v>50</v>
      </c>
      <c r="G36" s="117" t="s">
        <v>51</v>
      </c>
      <c r="H36" s="436" t="s">
        <v>146</v>
      </c>
      <c r="I36" s="124" t="s">
        <v>145</v>
      </c>
      <c r="J36" s="363" t="s">
        <v>140</v>
      </c>
      <c r="K36" s="124" t="s">
        <v>140</v>
      </c>
      <c r="L36" s="124" t="s">
        <v>144</v>
      </c>
      <c r="M36" s="437" t="s">
        <v>144</v>
      </c>
      <c r="N36" s="124" t="s">
        <v>148</v>
      </c>
      <c r="O36" s="124" t="s">
        <v>8</v>
      </c>
    </row>
    <row r="37" spans="1:16" x14ac:dyDescent="0.25">
      <c r="A37" s="417"/>
      <c r="B37" s="367">
        <v>2</v>
      </c>
      <c r="C37" s="332">
        <f t="shared" ref="C37:C51" si="0">D$15/2*B37^3*PI()/4*D$31^2*D$20</f>
        <v>28.463590726663565</v>
      </c>
      <c r="D37" s="332">
        <f>C37*D$25</f>
        <v>19.406993677270613</v>
      </c>
      <c r="E37" s="368">
        <f t="shared" ref="E37:E43" si="1">C37*D$22*D$24</f>
        <v>22.831757267377192</v>
      </c>
      <c r="F37" s="405">
        <f t="shared" ref="F37:F51" si="2">D$17*B37/PI()/F$31</f>
        <v>0.66666666666666663</v>
      </c>
      <c r="G37" s="418">
        <f>F37*60</f>
        <v>40</v>
      </c>
      <c r="H37" s="438">
        <f t="shared" ref="H37:H44" si="3">G37*H$32</f>
        <v>73.333333333333329</v>
      </c>
      <c r="I37" s="133">
        <f>H37/1.35</f>
        <v>54.32098765432098</v>
      </c>
      <c r="J37" s="368">
        <f t="shared" ref="J37:J44" si="4">H37-(0.17*H37)</f>
        <v>60.86666666666666</v>
      </c>
      <c r="K37" s="332">
        <f>J37/1.35</f>
        <v>45.08641975308641</v>
      </c>
      <c r="L37" s="439">
        <f t="shared" ref="L37:L44" si="5">E37/J37</f>
        <v>0.37511101753631754</v>
      </c>
      <c r="M37" s="440">
        <f t="shared" ref="M37:M44" si="6">L37/1.27</f>
        <v>0.2953630059341083</v>
      </c>
      <c r="N37" s="364"/>
      <c r="O37" s="364"/>
    </row>
    <row r="38" spans="1:16" ht="12.75" customHeight="1" x14ac:dyDescent="0.25">
      <c r="A38" s="417"/>
      <c r="B38" s="100">
        <v>3</v>
      </c>
      <c r="C38" s="133">
        <f t="shared" si="0"/>
        <v>96.064618702489526</v>
      </c>
      <c r="D38" s="134">
        <f t="shared" ref="D38:D51" si="7">C38*D$25</f>
        <v>65.498603660788319</v>
      </c>
      <c r="E38" s="331">
        <f t="shared" si="1"/>
        <v>77.057180777398017</v>
      </c>
      <c r="F38" s="119">
        <f t="shared" si="2"/>
        <v>1</v>
      </c>
      <c r="G38" s="419">
        <f t="shared" ref="G38:G51" si="8">F38*60</f>
        <v>60</v>
      </c>
      <c r="H38" s="438">
        <f t="shared" si="3"/>
        <v>110</v>
      </c>
      <c r="I38" s="133">
        <f t="shared" ref="I38:I45" si="9">H38/1.35</f>
        <v>81.481481481481481</v>
      </c>
      <c r="J38" s="134">
        <f t="shared" si="4"/>
        <v>91.3</v>
      </c>
      <c r="K38" s="133">
        <f t="shared" ref="K38:K45" si="10">J38/1.35</f>
        <v>67.629629629629619</v>
      </c>
      <c r="L38" s="441">
        <f t="shared" si="5"/>
        <v>0.84399978945671439</v>
      </c>
      <c r="M38" s="442">
        <f t="shared" si="6"/>
        <v>0.66456676335174358</v>
      </c>
      <c r="N38" s="364"/>
      <c r="O38" s="364"/>
    </row>
    <row r="39" spans="1:16" ht="12.75" hidden="1" customHeight="1" x14ac:dyDescent="0.25">
      <c r="A39" s="417"/>
      <c r="B39" s="100">
        <v>4</v>
      </c>
      <c r="C39" s="133">
        <f t="shared" si="0"/>
        <v>227.70872581330852</v>
      </c>
      <c r="D39" s="134">
        <f>C39*D$25</f>
        <v>155.2559494181649</v>
      </c>
      <c r="E39" s="331">
        <f t="shared" si="1"/>
        <v>182.65405813901754</v>
      </c>
      <c r="F39" s="119">
        <f>D$17*B39/PI()/F$31</f>
        <v>1.3333333333333333</v>
      </c>
      <c r="G39" s="419">
        <f>F39*60</f>
        <v>80</v>
      </c>
      <c r="H39" s="438">
        <f t="shared" si="3"/>
        <v>146.66666666666666</v>
      </c>
      <c r="I39" s="133">
        <f t="shared" si="9"/>
        <v>108.64197530864196</v>
      </c>
      <c r="J39" s="134">
        <f t="shared" si="4"/>
        <v>121.73333333333332</v>
      </c>
      <c r="K39" s="133">
        <f t="shared" si="10"/>
        <v>90.172839506172821</v>
      </c>
      <c r="L39" s="441">
        <f t="shared" si="5"/>
        <v>1.5004440701452701</v>
      </c>
      <c r="M39" s="442">
        <f t="shared" si="6"/>
        <v>1.1814520237364332</v>
      </c>
      <c r="N39" s="364"/>
      <c r="O39" s="364"/>
    </row>
    <row r="40" spans="1:16" ht="12.75" customHeight="1" x14ac:dyDescent="0.25">
      <c r="A40" s="417"/>
      <c r="B40" s="100">
        <v>4</v>
      </c>
      <c r="C40" s="133">
        <f t="shared" si="0"/>
        <v>227.70872581330852</v>
      </c>
      <c r="D40" s="134">
        <f>C40*D$25</f>
        <v>155.2559494181649</v>
      </c>
      <c r="E40" s="331">
        <f t="shared" si="1"/>
        <v>182.65405813901754</v>
      </c>
      <c r="F40" s="119">
        <f>D$17*B40/PI()/F$31</f>
        <v>1.3333333333333333</v>
      </c>
      <c r="G40" s="419">
        <f>F40*60</f>
        <v>80</v>
      </c>
      <c r="H40" s="438">
        <f t="shared" si="3"/>
        <v>146.66666666666666</v>
      </c>
      <c r="I40" s="133">
        <f t="shared" si="9"/>
        <v>108.64197530864196</v>
      </c>
      <c r="J40" s="134">
        <f t="shared" si="4"/>
        <v>121.73333333333332</v>
      </c>
      <c r="K40" s="133">
        <f t="shared" si="10"/>
        <v>90.172839506172821</v>
      </c>
      <c r="L40" s="441">
        <f t="shared" si="5"/>
        <v>1.5004440701452701</v>
      </c>
      <c r="M40" s="442">
        <f t="shared" si="6"/>
        <v>1.1814520237364332</v>
      </c>
      <c r="N40" s="364"/>
      <c r="O40" s="364"/>
    </row>
    <row r="41" spans="1:16" s="386" customFormat="1" x14ac:dyDescent="0.25">
      <c r="A41" s="420" t="s">
        <v>155</v>
      </c>
      <c r="B41" s="381">
        <v>5</v>
      </c>
      <c r="C41" s="382">
        <f t="shared" si="0"/>
        <v>444.74360510411816</v>
      </c>
      <c r="D41" s="383">
        <f t="shared" si="7"/>
        <v>303.23427620735333</v>
      </c>
      <c r="E41" s="383">
        <f t="shared" si="1"/>
        <v>356.7462073027686</v>
      </c>
      <c r="F41" s="384">
        <f t="shared" si="2"/>
        <v>1.6666666666666665</v>
      </c>
      <c r="G41" s="421">
        <f t="shared" si="8"/>
        <v>99.999999999999986</v>
      </c>
      <c r="H41" s="443">
        <f t="shared" si="3"/>
        <v>183.33333333333329</v>
      </c>
      <c r="I41" s="382">
        <f t="shared" si="9"/>
        <v>135.80246913580243</v>
      </c>
      <c r="J41" s="383">
        <f t="shared" si="4"/>
        <v>152.16666666666663</v>
      </c>
      <c r="K41" s="382">
        <f t="shared" si="10"/>
        <v>112.71604938271601</v>
      </c>
      <c r="L41" s="444">
        <f t="shared" si="5"/>
        <v>2.3444438596019848</v>
      </c>
      <c r="M41" s="445">
        <f t="shared" si="6"/>
        <v>1.846018787088177</v>
      </c>
      <c r="N41" s="385"/>
      <c r="O41" s="385"/>
    </row>
    <row r="42" spans="1:16" s="32" customFormat="1" x14ac:dyDescent="0.25">
      <c r="A42" s="417"/>
      <c r="B42" s="100">
        <v>6</v>
      </c>
      <c r="C42" s="133">
        <f t="shared" si="0"/>
        <v>768.5169496199162</v>
      </c>
      <c r="D42" s="134">
        <f t="shared" si="7"/>
        <v>523.98882928630655</v>
      </c>
      <c r="E42" s="331">
        <f t="shared" si="1"/>
        <v>616.45744621918413</v>
      </c>
      <c r="F42" s="119">
        <f t="shared" si="2"/>
        <v>2</v>
      </c>
      <c r="G42" s="419">
        <f t="shared" si="8"/>
        <v>120</v>
      </c>
      <c r="H42" s="438">
        <f t="shared" si="3"/>
        <v>220</v>
      </c>
      <c r="I42" s="133">
        <f t="shared" si="9"/>
        <v>162.96296296296296</v>
      </c>
      <c r="J42" s="134">
        <f t="shared" si="4"/>
        <v>182.6</v>
      </c>
      <c r="K42" s="133">
        <f t="shared" si="10"/>
        <v>135.25925925925924</v>
      </c>
      <c r="L42" s="441">
        <f t="shared" si="5"/>
        <v>3.3759991578268576</v>
      </c>
      <c r="M42" s="442">
        <f t="shared" si="6"/>
        <v>2.6582670534069743</v>
      </c>
      <c r="N42" s="364"/>
      <c r="O42" s="364"/>
    </row>
    <row r="43" spans="1:16" s="32" customFormat="1" x14ac:dyDescent="0.25">
      <c r="A43" s="417"/>
      <c r="B43" s="100">
        <v>7</v>
      </c>
      <c r="C43" s="133">
        <f t="shared" si="0"/>
        <v>1220.3764524057003</v>
      </c>
      <c r="D43" s="134">
        <f t="shared" si="7"/>
        <v>832.07485391297757</v>
      </c>
      <c r="E43" s="331">
        <f t="shared" si="1"/>
        <v>978.91159283879722</v>
      </c>
      <c r="F43" s="119">
        <f t="shared" si="2"/>
        <v>2.333333333333333</v>
      </c>
      <c r="G43" s="419">
        <f t="shared" si="8"/>
        <v>139.99999999999997</v>
      </c>
      <c r="H43" s="438">
        <f t="shared" si="3"/>
        <v>256.66666666666663</v>
      </c>
      <c r="I43" s="133">
        <f t="shared" si="9"/>
        <v>190.12345679012341</v>
      </c>
      <c r="J43" s="134">
        <f t="shared" si="4"/>
        <v>213.0333333333333</v>
      </c>
      <c r="K43" s="133">
        <f t="shared" si="10"/>
        <v>157.80246913580243</v>
      </c>
      <c r="L43" s="441">
        <f t="shared" si="5"/>
        <v>4.5951099648198905</v>
      </c>
      <c r="M43" s="442">
        <f t="shared" si="6"/>
        <v>3.6181968226928269</v>
      </c>
      <c r="N43" s="364"/>
      <c r="O43" s="364"/>
      <c r="P43" s="169" t="s">
        <v>78</v>
      </c>
    </row>
    <row r="44" spans="1:16" s="375" customFormat="1" x14ac:dyDescent="0.25">
      <c r="A44" s="422" t="s">
        <v>154</v>
      </c>
      <c r="B44" s="370">
        <v>8</v>
      </c>
      <c r="C44" s="371">
        <f t="shared" si="0"/>
        <v>1821.6698065064681</v>
      </c>
      <c r="D44" s="372">
        <f t="shared" si="7"/>
        <v>1242.0475953453192</v>
      </c>
      <c r="E44" s="372">
        <f>C44*D$22*D$24</f>
        <v>1461.2324651121403</v>
      </c>
      <c r="F44" s="373">
        <f t="shared" si="2"/>
        <v>2.6666666666666665</v>
      </c>
      <c r="G44" s="423">
        <f t="shared" si="8"/>
        <v>160</v>
      </c>
      <c r="H44" s="446">
        <f t="shared" si="3"/>
        <v>293.33333333333331</v>
      </c>
      <c r="I44" s="371">
        <f t="shared" si="9"/>
        <v>217.28395061728392</v>
      </c>
      <c r="J44" s="372">
        <f t="shared" si="4"/>
        <v>243.46666666666664</v>
      </c>
      <c r="K44" s="371">
        <f t="shared" si="10"/>
        <v>180.34567901234564</v>
      </c>
      <c r="L44" s="447">
        <f t="shared" si="5"/>
        <v>6.0017762805810806</v>
      </c>
      <c r="M44" s="448">
        <f t="shared" si="6"/>
        <v>4.7258080949457328</v>
      </c>
      <c r="N44" s="374"/>
      <c r="O44" s="374"/>
    </row>
    <row r="45" spans="1:16" ht="15" x14ac:dyDescent="0.25">
      <c r="A45" s="417"/>
      <c r="B45" s="100">
        <v>9</v>
      </c>
      <c r="C45" s="133">
        <f t="shared" si="0"/>
        <v>2593.7447049672173</v>
      </c>
      <c r="D45" s="134">
        <f t="shared" si="7"/>
        <v>1768.4622988412848</v>
      </c>
      <c r="E45" s="331">
        <f>C45*D$22*D$24</f>
        <v>2080.5438809897464</v>
      </c>
      <c r="F45" s="119">
        <f t="shared" si="2"/>
        <v>3</v>
      </c>
      <c r="G45" s="424">
        <f t="shared" si="8"/>
        <v>180</v>
      </c>
      <c r="H45" s="438">
        <f>G45*H$32</f>
        <v>330</v>
      </c>
      <c r="I45" s="133">
        <f t="shared" si="9"/>
        <v>244.44444444444443</v>
      </c>
      <c r="J45" s="134">
        <f>H45-(0.17*H45)</f>
        <v>273.89999999999998</v>
      </c>
      <c r="K45" s="133">
        <f t="shared" si="10"/>
        <v>202.88888888888886</v>
      </c>
      <c r="L45" s="441">
        <f>E45/J45</f>
        <v>7.5959981051104295</v>
      </c>
      <c r="M45" s="442">
        <f>L45/1.27</f>
        <v>5.981100870165692</v>
      </c>
      <c r="N45" s="101">
        <f>M45/N32</f>
        <v>1.3291335267034872</v>
      </c>
      <c r="O45" s="101">
        <f>2*N45/3.14</f>
        <v>0.84658186414234848</v>
      </c>
      <c r="P45" s="156" t="s">
        <v>73</v>
      </c>
    </row>
    <row r="46" spans="1:16" s="380" customFormat="1" x14ac:dyDescent="0.25">
      <c r="A46" s="425" t="s">
        <v>153</v>
      </c>
      <c r="B46" s="376">
        <v>10</v>
      </c>
      <c r="C46" s="377">
        <f t="shared" si="0"/>
        <v>3557.9488408329453</v>
      </c>
      <c r="D46" s="378">
        <f t="shared" si="7"/>
        <v>2425.8742096588267</v>
      </c>
      <c r="E46" s="378">
        <f t="shared" ref="E46:E48" si="11">C46*D$22*D$24</f>
        <v>2853.9696584221488</v>
      </c>
      <c r="F46" s="379">
        <f t="shared" si="2"/>
        <v>3.333333333333333</v>
      </c>
      <c r="G46" s="426">
        <f t="shared" si="8"/>
        <v>199.99999999999997</v>
      </c>
      <c r="H46" s="449">
        <f t="shared" ref="H46:H48" si="12">G46*H$32</f>
        <v>366.66666666666657</v>
      </c>
      <c r="I46" s="377">
        <f t="shared" ref="I46:I47" si="13">H46/1.35</f>
        <v>271.60493827160485</v>
      </c>
      <c r="J46" s="378">
        <f t="shared" ref="J46:J47" si="14">H46-(0.17*H46)</f>
        <v>304.33333333333326</v>
      </c>
      <c r="K46" s="377">
        <f t="shared" ref="K46:K47" si="15">J46/1.35</f>
        <v>225.43209876543202</v>
      </c>
      <c r="L46" s="450">
        <f t="shared" ref="L46:L47" si="16">E46/J46</f>
        <v>9.377775438407939</v>
      </c>
      <c r="M46" s="451">
        <f t="shared" ref="M46:M48" si="17">L46/1.27</f>
        <v>7.3840751483527081</v>
      </c>
    </row>
    <row r="47" spans="1:16" x14ac:dyDescent="0.25">
      <c r="A47" s="417"/>
      <c r="B47" s="100">
        <v>11</v>
      </c>
      <c r="C47" s="284">
        <f t="shared" si="0"/>
        <v>4735.629907148651</v>
      </c>
      <c r="D47" s="134">
        <f t="shared" si="7"/>
        <v>3228.8385730558989</v>
      </c>
      <c r="E47" s="331">
        <f t="shared" si="11"/>
        <v>3798.6336153598809</v>
      </c>
      <c r="F47" s="119">
        <f t="shared" si="2"/>
        <v>3.6666666666666661</v>
      </c>
      <c r="G47" s="419">
        <f t="shared" si="8"/>
        <v>219.99999999999997</v>
      </c>
      <c r="H47" s="438">
        <f t="shared" si="12"/>
        <v>403.33333333333326</v>
      </c>
      <c r="I47" s="133">
        <f t="shared" si="13"/>
        <v>298.76543209876536</v>
      </c>
      <c r="J47" s="134">
        <f t="shared" si="14"/>
        <v>334.76666666666659</v>
      </c>
      <c r="K47" s="133">
        <f t="shared" si="15"/>
        <v>247.97530864197523</v>
      </c>
      <c r="L47" s="441">
        <f t="shared" si="16"/>
        <v>11.347108280473609</v>
      </c>
      <c r="M47" s="442">
        <f t="shared" si="17"/>
        <v>8.9347309295067792</v>
      </c>
      <c r="P47" s="42" t="s">
        <v>60</v>
      </c>
    </row>
    <row r="48" spans="1:16" ht="13.8" thickBot="1" x14ac:dyDescent="0.3">
      <c r="A48" s="417"/>
      <c r="B48" s="123">
        <v>12</v>
      </c>
      <c r="C48" s="331">
        <f t="shared" si="0"/>
        <v>6148.1355969593296</v>
      </c>
      <c r="D48" s="331">
        <f t="shared" si="7"/>
        <v>4191.9106342904524</v>
      </c>
      <c r="E48" s="331">
        <f t="shared" si="11"/>
        <v>4931.6595697534731</v>
      </c>
      <c r="F48" s="365">
        <f t="shared" si="2"/>
        <v>4</v>
      </c>
      <c r="G48" s="427">
        <f t="shared" si="8"/>
        <v>240</v>
      </c>
      <c r="H48" s="452">
        <f t="shared" si="12"/>
        <v>440</v>
      </c>
      <c r="I48" s="453">
        <f t="shared" ref="I48" si="18">H48/1.35</f>
        <v>325.92592592592592</v>
      </c>
      <c r="J48" s="454">
        <f t="shared" ref="J48" si="19">H48-(0.17*H48)</f>
        <v>365.2</v>
      </c>
      <c r="K48" s="453">
        <f t="shared" ref="K48" si="20">J48/1.35</f>
        <v>270.51851851851848</v>
      </c>
      <c r="L48" s="455">
        <f t="shared" ref="L48" si="21">E48/J48</f>
        <v>13.50399663130743</v>
      </c>
      <c r="M48" s="456">
        <f t="shared" si="17"/>
        <v>10.633068213627897</v>
      </c>
    </row>
    <row r="49" spans="1:16" x14ac:dyDescent="0.25">
      <c r="A49" s="417"/>
      <c r="B49" s="367">
        <v>13</v>
      </c>
      <c r="C49" s="332">
        <f t="shared" si="0"/>
        <v>7816.8136033099818</v>
      </c>
      <c r="D49" s="332">
        <f t="shared" si="7"/>
        <v>5329.6456386204427</v>
      </c>
      <c r="E49" s="134"/>
      <c r="F49" s="365">
        <f t="shared" si="2"/>
        <v>4.333333333333333</v>
      </c>
      <c r="G49" s="427">
        <f t="shared" si="8"/>
        <v>260</v>
      </c>
      <c r="P49" s="42" t="s">
        <v>74</v>
      </c>
    </row>
    <row r="50" spans="1:16" x14ac:dyDescent="0.25">
      <c r="A50" s="417"/>
      <c r="B50" s="369">
        <v>14</v>
      </c>
      <c r="C50" s="258">
        <f t="shared" si="0"/>
        <v>9763.0116192456026</v>
      </c>
      <c r="D50" s="258">
        <f t="shared" si="7"/>
        <v>6656.5988313038206</v>
      </c>
      <c r="E50" s="134"/>
      <c r="F50" s="365">
        <f t="shared" si="2"/>
        <v>4.6666666666666661</v>
      </c>
      <c r="G50" s="427">
        <f t="shared" si="8"/>
        <v>279.99999999999994</v>
      </c>
    </row>
    <row r="51" spans="1:16" ht="13.8" thickBot="1" x14ac:dyDescent="0.3">
      <c r="A51" s="428"/>
      <c r="B51" s="429">
        <v>15</v>
      </c>
      <c r="C51" s="430">
        <f t="shared" si="0"/>
        <v>12008.07733781119</v>
      </c>
      <c r="D51" s="430">
        <f t="shared" si="7"/>
        <v>8187.3254575985393</v>
      </c>
      <c r="E51" s="430"/>
      <c r="F51" s="366">
        <f t="shared" si="2"/>
        <v>5</v>
      </c>
      <c r="G51" s="270">
        <f t="shared" si="8"/>
        <v>300</v>
      </c>
    </row>
    <row r="100" spans="1:9" ht="15.6" x14ac:dyDescent="0.3">
      <c r="H100" s="99" t="s">
        <v>103</v>
      </c>
      <c r="I100" s="99"/>
    </row>
    <row r="102" spans="1:9" ht="15" x14ac:dyDescent="0.25">
      <c r="A102" s="99" t="s">
        <v>119</v>
      </c>
      <c r="H102" s="42" t="s">
        <v>74</v>
      </c>
      <c r="I102" s="42"/>
    </row>
    <row r="103" spans="1:9" ht="15" x14ac:dyDescent="0.25">
      <c r="A103" s="99" t="s">
        <v>120</v>
      </c>
    </row>
    <row r="105" spans="1:9" x14ac:dyDescent="0.25">
      <c r="A105" s="34" t="s">
        <v>66</v>
      </c>
    </row>
    <row r="106" spans="1:9" x14ac:dyDescent="0.25">
      <c r="A106" s="183" t="s">
        <v>85</v>
      </c>
    </row>
  </sheetData>
  <mergeCells count="5">
    <mergeCell ref="A3:C3"/>
    <mergeCell ref="A4:C4"/>
    <mergeCell ref="C33:D33"/>
    <mergeCell ref="E3:G3"/>
    <mergeCell ref="E28:F28"/>
  </mergeCells>
  <phoneticPr fontId="2" type="noConversion"/>
  <hyperlinks>
    <hyperlink ref="G9" r:id="rId1"/>
    <hyperlink ref="E13" r:id="rId2"/>
    <hyperlink ref="G28" r:id="rId3"/>
  </hyperlinks>
  <printOptions gridLines="1"/>
  <pageMargins left="0.78740157499999996" right="0.78740157499999996" top="0.984251969" bottom="0.984251969" header="0.4921259845" footer="0.4921259845"/>
  <pageSetup paperSize="9" orientation="portrait" r:id="rId4"/>
  <headerFooter alignWithMargins="0">
    <oddHeader>&amp;C&amp;"Arial,Fett"&amp;A</oddHeader>
    <oddFooter>&amp;L&amp;F&amp;C&amp;P/&amp;N&amp;R&amp;D</oddFooter>
  </headerFooter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26"/>
  <sheetViews>
    <sheetView zoomScaleNormal="100" workbookViewId="0">
      <selection activeCell="B5" sqref="B5"/>
    </sheetView>
  </sheetViews>
  <sheetFormatPr baseColWidth="10" defaultColWidth="11.44140625" defaultRowHeight="10.199999999999999" x14ac:dyDescent="0.2"/>
  <cols>
    <col min="1" max="1" width="8.109375" style="2" customWidth="1"/>
    <col min="2" max="2" width="5.6640625" style="2" customWidth="1"/>
    <col min="3" max="3" width="7.109375" style="5" customWidth="1"/>
    <col min="4" max="4" width="7.6640625" style="2" customWidth="1"/>
    <col min="5" max="5" width="8" style="2" customWidth="1"/>
    <col min="6" max="6" width="7" style="2" customWidth="1"/>
    <col min="7" max="7" width="11.88671875" style="2" customWidth="1"/>
    <col min="8" max="8" width="6.88671875" style="2" customWidth="1"/>
    <col min="9" max="9" width="5" style="2" customWidth="1"/>
    <col min="10" max="10" width="4.88671875" style="5" customWidth="1"/>
    <col min="11" max="11" width="5.88671875" style="2" customWidth="1"/>
    <col min="12" max="12" width="9.77734375" style="2" customWidth="1"/>
    <col min="13" max="13" width="11.109375" style="11" customWidth="1"/>
    <col min="14" max="14" width="6" style="11" customWidth="1"/>
    <col min="15" max="15" width="6.109375" style="11" customWidth="1"/>
    <col min="16" max="16" width="5.5546875" style="4" customWidth="1"/>
    <col min="17" max="17" width="8.5546875" style="4" customWidth="1"/>
    <col min="18" max="18" width="7.109375" style="4" customWidth="1"/>
    <col min="19" max="19" width="9.109375" style="4" customWidth="1"/>
    <col min="20" max="20" width="3.109375" style="4" customWidth="1"/>
    <col min="21" max="16384" width="11.44140625" style="2"/>
  </cols>
  <sheetData>
    <row r="1" spans="1:38" ht="13.2" x14ac:dyDescent="0.25">
      <c r="A1" s="113" t="s">
        <v>132</v>
      </c>
      <c r="B1" s="268"/>
      <c r="C1" s="62"/>
      <c r="D1" s="238"/>
      <c r="E1" s="49"/>
      <c r="F1" s="49"/>
      <c r="G1" s="61"/>
      <c r="H1" s="49"/>
      <c r="I1" s="49"/>
      <c r="J1" s="62"/>
      <c r="K1" s="49"/>
      <c r="L1" s="49"/>
      <c r="M1" s="64"/>
      <c r="N1" s="64"/>
      <c r="O1" s="159" t="s">
        <v>69</v>
      </c>
      <c r="P1" s="63"/>
      <c r="Q1" s="63"/>
      <c r="R1" s="63"/>
      <c r="S1" s="135"/>
      <c r="T1" s="65"/>
      <c r="U1" s="56"/>
      <c r="V1" s="187"/>
      <c r="W1" s="56"/>
      <c r="X1" s="56"/>
      <c r="Y1" s="111"/>
      <c r="Z1" s="39"/>
      <c r="AA1" s="39"/>
      <c r="AB1" s="39"/>
      <c r="AC1" s="39"/>
      <c r="AD1" s="39"/>
      <c r="AE1" s="39"/>
      <c r="AF1" s="39"/>
      <c r="AG1" s="39"/>
      <c r="AH1" s="39"/>
      <c r="AI1" s="56"/>
      <c r="AJ1" s="56"/>
      <c r="AK1" s="56"/>
      <c r="AL1" s="56"/>
    </row>
    <row r="2" spans="1:38" ht="10.8" thickBot="1" x14ac:dyDescent="0.25">
      <c r="A2" s="250" t="s">
        <v>85</v>
      </c>
      <c r="B2" s="269"/>
      <c r="C2" s="48"/>
      <c r="D2" s="28"/>
      <c r="E2" s="28"/>
      <c r="F2" s="28"/>
      <c r="G2" s="28"/>
      <c r="H2" s="396" t="s">
        <v>108</v>
      </c>
      <c r="I2" s="396"/>
      <c r="J2" s="396"/>
      <c r="K2" s="256" t="s">
        <v>25</v>
      </c>
      <c r="L2" s="28"/>
      <c r="M2" s="66"/>
      <c r="N2" s="66"/>
      <c r="O2" s="160" t="s">
        <v>68</v>
      </c>
      <c r="P2" s="65"/>
      <c r="Q2" s="65"/>
      <c r="R2" s="65"/>
      <c r="S2" s="137"/>
      <c r="T2" s="65"/>
      <c r="U2" s="56"/>
      <c r="V2" s="54"/>
      <c r="W2" s="56"/>
      <c r="X2" s="56"/>
      <c r="Y2" s="111"/>
      <c r="Z2" s="39"/>
      <c r="AA2" s="39"/>
      <c r="AB2" s="39"/>
      <c r="AC2" s="39"/>
      <c r="AD2" s="39"/>
      <c r="AE2" s="39"/>
      <c r="AF2" s="39"/>
      <c r="AG2" s="39"/>
      <c r="AH2" s="39"/>
      <c r="AI2" s="56"/>
      <c r="AJ2" s="56"/>
      <c r="AK2" s="56"/>
      <c r="AL2" s="56"/>
    </row>
    <row r="3" spans="1:38" ht="12.75" customHeight="1" thickBot="1" x14ac:dyDescent="0.25">
      <c r="A3" s="67" t="s">
        <v>0</v>
      </c>
      <c r="B3" s="267">
        <f>'Ø-Bestimmung'!D17</f>
        <v>4.2934275832522157</v>
      </c>
      <c r="C3" s="313" t="s">
        <v>27</v>
      </c>
      <c r="D3" s="28"/>
      <c r="E3" s="28"/>
      <c r="F3" s="28"/>
      <c r="G3" s="396" t="s">
        <v>109</v>
      </c>
      <c r="H3" s="396"/>
      <c r="I3" s="396"/>
      <c r="J3" s="396"/>
      <c r="K3" s="257" t="s">
        <v>71</v>
      </c>
      <c r="L3" s="255"/>
      <c r="M3" s="66"/>
      <c r="N3" s="66"/>
      <c r="O3" s="264">
        <f>AVERAGE(O10:O20)/1000*F4*B5/'Ø-Bestimmung'!F30*100</f>
        <v>13.999869763628539</v>
      </c>
      <c r="P3" s="108" t="s">
        <v>65</v>
      </c>
      <c r="Q3" s="63"/>
      <c r="R3" s="63"/>
      <c r="S3" s="135"/>
      <c r="T3" s="65"/>
      <c r="U3" s="56"/>
      <c r="V3" s="54"/>
      <c r="W3" s="56"/>
      <c r="X3" s="56"/>
      <c r="Y3" s="111"/>
      <c r="Z3" s="39"/>
      <c r="AA3" s="39"/>
      <c r="AB3" s="39"/>
      <c r="AC3" s="39"/>
      <c r="AD3" s="39"/>
      <c r="AE3" s="39"/>
      <c r="AF3" s="202"/>
      <c r="AG3" s="202"/>
      <c r="AH3" s="202"/>
      <c r="AI3" s="202"/>
      <c r="AJ3" s="202"/>
      <c r="AK3" s="56"/>
      <c r="AL3" s="56"/>
    </row>
    <row r="4" spans="1:38" ht="15.75" customHeight="1" thickBot="1" x14ac:dyDescent="0.35">
      <c r="A4" s="69" t="s">
        <v>1</v>
      </c>
      <c r="B4" s="39">
        <f>'Ø-Bestimmung'!F31</f>
        <v>4.0999213360900812</v>
      </c>
      <c r="C4" s="313" t="s">
        <v>26</v>
      </c>
      <c r="D4" s="28"/>
      <c r="E4" s="29" t="s">
        <v>2</v>
      </c>
      <c r="F4" s="71">
        <f>B4/2</f>
        <v>2.0499606680450406</v>
      </c>
      <c r="G4" s="28"/>
      <c r="H4" s="28"/>
      <c r="I4" s="28"/>
      <c r="J4" s="59"/>
      <c r="K4" s="28"/>
      <c r="L4" s="28"/>
      <c r="M4" s="66"/>
      <c r="N4" s="400" t="s">
        <v>77</v>
      </c>
      <c r="O4" s="401" t="s">
        <v>113</v>
      </c>
      <c r="P4" s="50"/>
      <c r="Q4" s="29" t="s">
        <v>13</v>
      </c>
      <c r="R4" s="65"/>
      <c r="S4" s="137"/>
      <c r="T4" s="65"/>
      <c r="U4" s="56"/>
      <c r="V4" s="54"/>
      <c r="W4" s="124"/>
      <c r="X4" s="56"/>
      <c r="Y4" s="188"/>
      <c r="Z4" s="39"/>
      <c r="AA4" s="39"/>
      <c r="AB4" s="39"/>
      <c r="AC4" s="39"/>
      <c r="AD4" s="39"/>
      <c r="AE4" s="39"/>
      <c r="AF4" s="98"/>
      <c r="AG4" s="98"/>
      <c r="AH4" s="189"/>
      <c r="AI4" s="189"/>
      <c r="AJ4" s="98"/>
      <c r="AK4" s="56"/>
      <c r="AL4" s="56"/>
    </row>
    <row r="5" spans="1:38" s="1" customFormat="1" ht="13.5" customHeight="1" thickBot="1" x14ac:dyDescent="0.3">
      <c r="A5" s="52" t="s">
        <v>3</v>
      </c>
      <c r="B5" s="359">
        <v>3</v>
      </c>
      <c r="C5" s="313" t="s">
        <v>28</v>
      </c>
      <c r="D5" s="46"/>
      <c r="E5" s="29"/>
      <c r="F5" s="29"/>
      <c r="G5" s="29"/>
      <c r="H5" s="29"/>
      <c r="I5" s="29"/>
      <c r="J5" s="48"/>
      <c r="K5" s="29"/>
      <c r="L5" s="29"/>
      <c r="M5" s="72"/>
      <c r="N5" s="400"/>
      <c r="O5" s="401"/>
      <c r="P5" s="51"/>
      <c r="Q5" s="73">
        <v>7</v>
      </c>
      <c r="R5" s="29"/>
      <c r="S5" s="136"/>
      <c r="T5" s="47"/>
      <c r="U5" s="92"/>
      <c r="V5" s="83"/>
      <c r="W5" s="83"/>
      <c r="X5" s="92"/>
      <c r="Y5" s="188"/>
      <c r="Z5" s="190"/>
      <c r="AA5" s="190"/>
      <c r="AB5" s="190"/>
      <c r="AC5" s="190"/>
      <c r="AD5" s="190"/>
      <c r="AE5" s="190"/>
      <c r="AF5" s="191"/>
      <c r="AG5" s="191"/>
      <c r="AH5" s="190"/>
      <c r="AI5" s="190"/>
      <c r="AJ5" s="192"/>
      <c r="AK5" s="92"/>
      <c r="AL5" s="92"/>
    </row>
    <row r="6" spans="1:38" s="1" customFormat="1" ht="12.75" customHeight="1" x14ac:dyDescent="0.2">
      <c r="A6" s="52"/>
      <c r="B6" s="29"/>
      <c r="C6" s="38"/>
      <c r="D6" s="334"/>
      <c r="E6" s="59"/>
      <c r="F6" s="30"/>
      <c r="G6" s="29"/>
      <c r="H6" s="30" t="s">
        <v>128</v>
      </c>
      <c r="I6" s="30"/>
      <c r="J6" s="74"/>
      <c r="K6" s="30"/>
      <c r="L6" s="30"/>
      <c r="M6" s="75"/>
      <c r="N6" s="400"/>
      <c r="O6" s="401"/>
      <c r="P6" s="52"/>
      <c r="Q6" s="29"/>
      <c r="R6" s="29"/>
      <c r="S6" s="116"/>
      <c r="T6" s="29"/>
      <c r="U6" s="92"/>
      <c r="V6" s="92"/>
      <c r="W6" s="92"/>
      <c r="X6" s="92"/>
      <c r="Y6" s="83"/>
      <c r="Z6" s="190"/>
      <c r="AA6" s="190"/>
      <c r="AB6" s="190"/>
      <c r="AC6" s="190"/>
      <c r="AD6" s="190"/>
      <c r="AE6" s="190"/>
      <c r="AF6" s="192"/>
      <c r="AG6" s="193"/>
      <c r="AH6" s="194"/>
      <c r="AI6" s="194"/>
      <c r="AJ6" s="193"/>
      <c r="AK6" s="92"/>
      <c r="AL6" s="92"/>
    </row>
    <row r="7" spans="1:38" ht="26.25" customHeight="1" x14ac:dyDescent="0.2">
      <c r="A7" s="76"/>
      <c r="B7" s="28"/>
      <c r="C7" s="59"/>
      <c r="D7" s="28"/>
      <c r="E7" s="394" t="s">
        <v>16</v>
      </c>
      <c r="F7" s="394"/>
      <c r="G7" s="29" t="s">
        <v>19</v>
      </c>
      <c r="H7" s="77" t="s">
        <v>17</v>
      </c>
      <c r="I7" s="77"/>
      <c r="J7" s="78" t="s">
        <v>58</v>
      </c>
      <c r="K7" s="77"/>
      <c r="L7" s="77" t="s">
        <v>29</v>
      </c>
      <c r="M7" s="308" t="s">
        <v>18</v>
      </c>
      <c r="N7" s="400"/>
      <c r="O7" s="401"/>
      <c r="P7" s="51"/>
      <c r="Q7" s="79" t="s">
        <v>76</v>
      </c>
      <c r="R7" s="65"/>
      <c r="S7" s="136" t="s">
        <v>31</v>
      </c>
      <c r="T7" s="47"/>
      <c r="U7" s="56"/>
      <c r="V7" s="83"/>
      <c r="W7" s="54"/>
      <c r="X7" s="56"/>
      <c r="Y7" s="111"/>
      <c r="Z7" s="39"/>
      <c r="AA7" s="39"/>
      <c r="AB7" s="39"/>
      <c r="AC7" s="39"/>
      <c r="AD7" s="39"/>
      <c r="AE7" s="39"/>
      <c r="AF7" s="192"/>
      <c r="AG7" s="195"/>
      <c r="AH7" s="39"/>
      <c r="AI7" s="56"/>
      <c r="AJ7" s="56"/>
      <c r="AK7" s="56"/>
      <c r="AL7" s="56"/>
    </row>
    <row r="8" spans="1:38" s="206" customFormat="1" ht="25.2" x14ac:dyDescent="0.4">
      <c r="A8" s="203" t="s">
        <v>11</v>
      </c>
      <c r="B8" s="128" t="s">
        <v>118</v>
      </c>
      <c r="C8" s="314" t="s">
        <v>4</v>
      </c>
      <c r="D8" s="240" t="s">
        <v>98</v>
      </c>
      <c r="E8" s="240" t="s">
        <v>6</v>
      </c>
      <c r="F8" s="240" t="s">
        <v>6</v>
      </c>
      <c r="G8" s="204"/>
      <c r="H8" s="240" t="s">
        <v>9</v>
      </c>
      <c r="I8" s="204" t="s">
        <v>99</v>
      </c>
      <c r="J8" s="241" t="s">
        <v>55</v>
      </c>
      <c r="K8" s="204" t="s">
        <v>100</v>
      </c>
      <c r="L8" s="240" t="s">
        <v>10</v>
      </c>
      <c r="M8" s="80" t="s">
        <v>30</v>
      </c>
      <c r="N8" s="246" t="s">
        <v>110</v>
      </c>
      <c r="O8" s="346" t="s">
        <v>111</v>
      </c>
      <c r="P8" s="243" t="s">
        <v>52</v>
      </c>
      <c r="Q8" s="205" t="s">
        <v>57</v>
      </c>
      <c r="R8" s="242" t="s">
        <v>12</v>
      </c>
      <c r="S8" s="244"/>
      <c r="T8" s="205"/>
      <c r="U8" s="207"/>
      <c r="V8" s="246"/>
      <c r="W8" s="207"/>
      <c r="X8" s="208"/>
      <c r="Y8" s="209"/>
      <c r="Z8" s="210"/>
      <c r="AA8" s="210"/>
      <c r="AB8" s="210"/>
      <c r="AC8" s="211"/>
      <c r="AD8" s="211"/>
      <c r="AE8" s="210"/>
      <c r="AF8" s="210"/>
      <c r="AG8" s="210"/>
      <c r="AH8" s="212"/>
      <c r="AI8" s="213"/>
      <c r="AJ8" s="207"/>
      <c r="AK8" s="207"/>
      <c r="AL8" s="207"/>
    </row>
    <row r="9" spans="1:38" s="1" customFormat="1" x14ac:dyDescent="0.2">
      <c r="A9" s="52" t="s">
        <v>59</v>
      </c>
      <c r="B9" s="29" t="s">
        <v>59</v>
      </c>
      <c r="C9" s="48" t="s">
        <v>8</v>
      </c>
      <c r="D9" s="29" t="s">
        <v>7</v>
      </c>
      <c r="E9" s="29" t="s">
        <v>7</v>
      </c>
      <c r="F9" s="81" t="s">
        <v>15</v>
      </c>
      <c r="G9" s="29"/>
      <c r="H9" s="29" t="s">
        <v>7</v>
      </c>
      <c r="I9" s="29" t="s">
        <v>59</v>
      </c>
      <c r="J9" s="29" t="s">
        <v>59</v>
      </c>
      <c r="K9" s="29" t="s">
        <v>59</v>
      </c>
      <c r="L9" s="29" t="s">
        <v>7</v>
      </c>
      <c r="M9" s="82" t="s">
        <v>8</v>
      </c>
      <c r="N9" s="83" t="s">
        <v>8</v>
      </c>
      <c r="O9" s="347" t="s">
        <v>8</v>
      </c>
      <c r="P9" s="104" t="s">
        <v>5</v>
      </c>
      <c r="Q9" s="79" t="s">
        <v>5</v>
      </c>
      <c r="R9" s="83" t="s">
        <v>14</v>
      </c>
      <c r="S9" s="116" t="s">
        <v>59</v>
      </c>
      <c r="T9" s="29"/>
      <c r="U9" s="92"/>
      <c r="V9" s="83"/>
      <c r="W9" s="92"/>
      <c r="X9" s="92"/>
      <c r="Y9" s="188"/>
      <c r="Z9" s="190"/>
      <c r="AA9" s="190"/>
      <c r="AB9" s="190"/>
      <c r="AC9" s="92"/>
      <c r="AD9" s="92"/>
      <c r="AE9" s="190"/>
      <c r="AF9" s="190"/>
      <c r="AG9" s="190"/>
      <c r="AH9" s="190"/>
      <c r="AI9" s="92"/>
      <c r="AJ9" s="92"/>
      <c r="AK9" s="92"/>
      <c r="AL9" s="92"/>
    </row>
    <row r="10" spans="1:38" s="6" customFormat="1" x14ac:dyDescent="0.2">
      <c r="A10" s="84">
        <v>1</v>
      </c>
      <c r="B10" s="53">
        <f>B$3*A10</f>
        <v>4.2934275832522157</v>
      </c>
      <c r="C10" s="40">
        <f t="shared" ref="C10:C20" si="0">A10*F$4*1000</f>
        <v>2049.9606680450406</v>
      </c>
      <c r="D10" s="85">
        <f t="shared" ref="D10:D20" si="1">ATAN(1/A10/B$3)*180/PI()</f>
        <v>13.111242400709779</v>
      </c>
      <c r="E10" s="85">
        <f>2/3*D10</f>
        <v>8.7408282671398521</v>
      </c>
      <c r="F10" s="86">
        <f t="shared" ref="F10:F20" si="2">RADIANS(E10)</f>
        <v>0.1525562326129809</v>
      </c>
      <c r="G10" s="311" t="s">
        <v>127</v>
      </c>
      <c r="H10" s="73">
        <v>3.5</v>
      </c>
      <c r="I10" s="88">
        <v>0.85</v>
      </c>
      <c r="J10" s="54"/>
      <c r="K10" s="153"/>
      <c r="L10" s="272">
        <f t="shared" ref="L10:L20" si="3">E10-H10</f>
        <v>5.2408282671398521</v>
      </c>
      <c r="M10" s="163">
        <f t="shared" ref="M10:M18" si="4">1000*16*PI()*C10/1000/B$5/I10*(SIN((1/3*D10*PI()/180)))^2</f>
        <v>234.65654205031956</v>
      </c>
      <c r="N10" s="166"/>
      <c r="O10" s="348">
        <f t="shared" ref="O10:O20" si="5">COS(RADIANS(L10))*M10</f>
        <v>233.67557495193117</v>
      </c>
      <c r="P10" s="105">
        <f>Q$5/(SIN(RADIANS($D10)))</f>
        <v>30.858426729483753</v>
      </c>
      <c r="Q10" s="53">
        <f>$P10*(COS(RADIANS($D10-$E10)))</f>
        <v>30.768697668977033</v>
      </c>
      <c r="R10" s="40">
        <f t="shared" ref="R10:R20" si="6">Q10*M10/1000/0.000015/1000</f>
        <v>481.33841322625852</v>
      </c>
      <c r="S10" s="142"/>
      <c r="T10" s="54"/>
      <c r="U10" s="56"/>
      <c r="V10" s="90"/>
      <c r="W10" s="54"/>
      <c r="X10" s="111"/>
      <c r="Y10" s="111"/>
      <c r="Z10" s="39"/>
      <c r="AA10" s="154"/>
      <c r="AB10" s="39"/>
      <c r="AC10" s="39"/>
      <c r="AD10" s="39"/>
      <c r="AE10" s="39"/>
      <c r="AF10" s="39"/>
      <c r="AG10" s="39"/>
      <c r="AH10" s="39"/>
      <c r="AI10" s="56"/>
      <c r="AJ10" s="56"/>
      <c r="AK10" s="56"/>
      <c r="AL10" s="56"/>
    </row>
    <row r="11" spans="1:38" s="12" customFormat="1" x14ac:dyDescent="0.2">
      <c r="A11" s="89">
        <v>0.9</v>
      </c>
      <c r="B11" s="54">
        <f t="shared" ref="B11:B20" si="7">B$3*A11</f>
        <v>3.8640848249269943</v>
      </c>
      <c r="C11" s="38">
        <f t="shared" si="0"/>
        <v>1844.9646012405365</v>
      </c>
      <c r="D11" s="90">
        <f t="shared" si="1"/>
        <v>14.509446450766626</v>
      </c>
      <c r="E11" s="90">
        <f t="shared" ref="E11:E20" si="8">2/3*D11</f>
        <v>9.672964300511083</v>
      </c>
      <c r="F11" s="91">
        <f t="shared" si="2"/>
        <v>0.16882507547178863</v>
      </c>
      <c r="G11" s="311" t="s">
        <v>127</v>
      </c>
      <c r="H11" s="73">
        <v>4</v>
      </c>
      <c r="I11" s="88">
        <v>0.9</v>
      </c>
      <c r="J11" s="54"/>
      <c r="K11" s="55"/>
      <c r="L11" s="273">
        <f t="shared" si="3"/>
        <v>5.672964300511083</v>
      </c>
      <c r="M11" s="162">
        <f t="shared" si="4"/>
        <v>244.16099120341303</v>
      </c>
      <c r="N11" s="166"/>
      <c r="O11" s="348">
        <f t="shared" si="5"/>
        <v>242.9651698733515</v>
      </c>
      <c r="P11" s="106">
        <f t="shared" ref="P11:P20" si="9">Q$5/(SIN(RADIANS($D11)))</f>
        <v>27.939692646436232</v>
      </c>
      <c r="Q11" s="54">
        <f t="shared" ref="Q11:Q20" si="10">P11*(COS(RADIANS(D11-E11)))</f>
        <v>27.840209927240885</v>
      </c>
      <c r="R11" s="38">
        <f t="shared" si="6"/>
        <v>453.1662167430822</v>
      </c>
      <c r="S11" s="140"/>
      <c r="T11" s="54"/>
      <c r="U11" s="56"/>
      <c r="V11" s="90"/>
      <c r="W11" s="54"/>
      <c r="X11" s="111"/>
      <c r="Y11" s="111"/>
      <c r="Z11" s="39"/>
      <c r="AA11" s="154"/>
      <c r="AB11" s="39"/>
      <c r="AC11" s="39"/>
      <c r="AD11" s="39"/>
      <c r="AE11" s="39"/>
      <c r="AF11" s="39"/>
      <c r="AG11" s="39"/>
      <c r="AH11" s="39"/>
      <c r="AI11" s="56"/>
      <c r="AJ11" s="56"/>
      <c r="AK11" s="56"/>
      <c r="AL11" s="56"/>
    </row>
    <row r="12" spans="1:38" s="6" customFormat="1" x14ac:dyDescent="0.2">
      <c r="A12" s="84">
        <v>0.8</v>
      </c>
      <c r="B12" s="53">
        <f t="shared" si="7"/>
        <v>3.4347420666017729</v>
      </c>
      <c r="C12" s="40">
        <f t="shared" si="0"/>
        <v>1639.9685344360325</v>
      </c>
      <c r="D12" s="85">
        <f t="shared" si="1"/>
        <v>16.232532171147664</v>
      </c>
      <c r="E12" s="85">
        <f t="shared" si="8"/>
        <v>10.821688114098443</v>
      </c>
      <c r="F12" s="86">
        <f t="shared" si="2"/>
        <v>0.18887408821495361</v>
      </c>
      <c r="G12" s="311" t="s">
        <v>127</v>
      </c>
      <c r="H12" s="73">
        <v>4</v>
      </c>
      <c r="I12" s="88">
        <v>0.9</v>
      </c>
      <c r="J12" s="54"/>
      <c r="K12" s="153"/>
      <c r="L12" s="272">
        <f t="shared" si="3"/>
        <v>6.8216881140984427</v>
      </c>
      <c r="M12" s="163">
        <f t="shared" si="4"/>
        <v>271.47817983750576</v>
      </c>
      <c r="N12" s="167"/>
      <c r="O12" s="349">
        <f t="shared" si="5"/>
        <v>269.55628199835724</v>
      </c>
      <c r="P12" s="105">
        <f t="shared" si="9"/>
        <v>25.041469608233996</v>
      </c>
      <c r="Q12" s="53">
        <f t="shared" si="10"/>
        <v>24.929888210507649</v>
      </c>
      <c r="R12" s="40">
        <f t="shared" si="6"/>
        <v>451.1947116627407</v>
      </c>
      <c r="S12" s="142"/>
      <c r="T12" s="54"/>
      <c r="U12" s="56"/>
      <c r="V12" s="90"/>
      <c r="W12" s="54"/>
      <c r="X12" s="111"/>
      <c r="Y12" s="111"/>
      <c r="Z12" s="39"/>
      <c r="AA12" s="154"/>
      <c r="AB12" s="39"/>
      <c r="AC12" s="39"/>
      <c r="AD12" s="39"/>
      <c r="AE12" s="39"/>
      <c r="AF12" s="39"/>
      <c r="AG12" s="39"/>
      <c r="AH12" s="39"/>
      <c r="AI12" s="56"/>
      <c r="AJ12" s="56"/>
      <c r="AK12" s="56"/>
      <c r="AL12" s="56"/>
    </row>
    <row r="13" spans="1:38" s="12" customFormat="1" x14ac:dyDescent="0.2">
      <c r="A13" s="89">
        <v>0.7</v>
      </c>
      <c r="B13" s="54">
        <f t="shared" si="7"/>
        <v>3.0053993082765507</v>
      </c>
      <c r="C13" s="38">
        <f t="shared" si="0"/>
        <v>1434.9724676315284</v>
      </c>
      <c r="D13" s="90">
        <f t="shared" si="1"/>
        <v>18.404063096731953</v>
      </c>
      <c r="E13" s="90">
        <f t="shared" si="8"/>
        <v>12.269375397821301</v>
      </c>
      <c r="F13" s="91">
        <f t="shared" si="2"/>
        <v>0.21414099785517082</v>
      </c>
      <c r="G13" s="311" t="s">
        <v>127</v>
      </c>
      <c r="H13" s="73">
        <v>4</v>
      </c>
      <c r="I13" s="88">
        <v>0.9</v>
      </c>
      <c r="J13" s="54"/>
      <c r="K13" s="55"/>
      <c r="L13" s="273">
        <f t="shared" si="3"/>
        <v>8.2693753978213014</v>
      </c>
      <c r="M13" s="162">
        <f t="shared" si="4"/>
        <v>305.09077812377802</v>
      </c>
      <c r="N13" s="166"/>
      <c r="O13" s="348">
        <f t="shared" si="5"/>
        <v>301.91869015444144</v>
      </c>
      <c r="P13" s="106">
        <f t="shared" si="9"/>
        <v>22.171802477635175</v>
      </c>
      <c r="Q13" s="54">
        <f t="shared" si="10"/>
        <v>22.044834056502076</v>
      </c>
      <c r="R13" s="38">
        <f t="shared" si="6"/>
        <v>448.37837172718537</v>
      </c>
      <c r="S13" s="140"/>
      <c r="T13" s="54"/>
      <c r="U13" s="56"/>
      <c r="V13" s="90"/>
      <c r="W13" s="54"/>
      <c r="X13" s="111"/>
      <c r="Y13" s="111"/>
      <c r="Z13" s="39"/>
      <c r="AA13" s="154"/>
      <c r="AB13" s="39"/>
      <c r="AC13" s="39"/>
      <c r="AD13" s="39"/>
      <c r="AE13" s="39"/>
      <c r="AF13" s="39"/>
      <c r="AG13" s="39"/>
      <c r="AH13" s="39"/>
      <c r="AI13" s="56"/>
      <c r="AJ13" s="56"/>
      <c r="AK13" s="56"/>
      <c r="AL13" s="56"/>
    </row>
    <row r="14" spans="1:38" s="23" customFormat="1" x14ac:dyDescent="0.2">
      <c r="A14" s="93">
        <v>0.6</v>
      </c>
      <c r="B14" s="57">
        <f t="shared" si="7"/>
        <v>2.5760565499513293</v>
      </c>
      <c r="C14" s="97">
        <f t="shared" si="0"/>
        <v>1229.9764008270245</v>
      </c>
      <c r="D14" s="94">
        <f t="shared" si="1"/>
        <v>21.215726054478708</v>
      </c>
      <c r="E14" s="94">
        <f t="shared" si="8"/>
        <v>14.143817369652471</v>
      </c>
      <c r="F14" s="95">
        <f t="shared" si="2"/>
        <v>0.24685618190119951</v>
      </c>
      <c r="G14" s="311" t="s">
        <v>127</v>
      </c>
      <c r="H14" s="73">
        <v>4</v>
      </c>
      <c r="I14" s="88">
        <v>0.9</v>
      </c>
      <c r="J14" s="54"/>
      <c r="K14" s="146"/>
      <c r="L14" s="274">
        <f t="shared" si="3"/>
        <v>10.143817369652471</v>
      </c>
      <c r="M14" s="164">
        <f t="shared" si="4"/>
        <v>347.07581639019747</v>
      </c>
      <c r="N14" s="165"/>
      <c r="O14" s="350">
        <f t="shared" si="5"/>
        <v>341.65059763378758</v>
      </c>
      <c r="P14" s="107">
        <f t="shared" si="9"/>
        <v>19.343404562765315</v>
      </c>
      <c r="Q14" s="57">
        <f t="shared" si="10"/>
        <v>19.196248039565234</v>
      </c>
      <c r="R14" s="97">
        <f t="shared" si="6"/>
        <v>444.1702306640554</v>
      </c>
      <c r="S14" s="139"/>
      <c r="T14" s="54"/>
      <c r="U14" s="56"/>
      <c r="V14" s="90"/>
      <c r="W14" s="54"/>
      <c r="X14" s="111"/>
      <c r="Y14" s="111"/>
      <c r="Z14" s="39"/>
      <c r="AA14" s="154"/>
      <c r="AB14" s="39"/>
      <c r="AC14" s="39"/>
      <c r="AD14" s="39"/>
      <c r="AE14" s="39"/>
      <c r="AF14" s="39"/>
      <c r="AG14" s="39"/>
      <c r="AH14" s="39"/>
      <c r="AI14" s="56"/>
      <c r="AJ14" s="56"/>
      <c r="AK14" s="56"/>
      <c r="AL14" s="56"/>
    </row>
    <row r="15" spans="1:38" s="12" customFormat="1" x14ac:dyDescent="0.2">
      <c r="A15" s="89">
        <v>0.5</v>
      </c>
      <c r="B15" s="54">
        <f t="shared" si="7"/>
        <v>2.1467137916261079</v>
      </c>
      <c r="C15" s="38">
        <f t="shared" si="0"/>
        <v>1024.9803340225203</v>
      </c>
      <c r="D15" s="90">
        <f t="shared" si="1"/>
        <v>24.977435321309503</v>
      </c>
      <c r="E15" s="90">
        <f t="shared" si="8"/>
        <v>16.651623547539668</v>
      </c>
      <c r="F15" s="91">
        <f t="shared" si="2"/>
        <v>0.29062565670718571</v>
      </c>
      <c r="G15" s="311" t="s">
        <v>127</v>
      </c>
      <c r="H15" s="73">
        <v>4</v>
      </c>
      <c r="I15" s="88">
        <v>0.9</v>
      </c>
      <c r="J15" s="54"/>
      <c r="K15" s="55"/>
      <c r="L15" s="273">
        <f t="shared" si="3"/>
        <v>12.651623547539668</v>
      </c>
      <c r="M15" s="162">
        <f t="shared" si="4"/>
        <v>400.10184457560177</v>
      </c>
      <c r="N15" s="166"/>
      <c r="O15" s="348">
        <f t="shared" si="5"/>
        <v>390.38729920598058</v>
      </c>
      <c r="P15" s="106">
        <f t="shared" si="9"/>
        <v>16.577413098994949</v>
      </c>
      <c r="Q15" s="54">
        <f t="shared" si="10"/>
        <v>16.402698041818777</v>
      </c>
      <c r="R15" s="38">
        <f t="shared" si="6"/>
        <v>437.51664950322015</v>
      </c>
      <c r="S15" s="138"/>
      <c r="T15" s="83"/>
      <c r="U15" s="56"/>
      <c r="V15" s="90"/>
      <c r="W15" s="54"/>
      <c r="X15" s="111"/>
      <c r="Y15" s="111"/>
      <c r="Z15" s="39"/>
      <c r="AA15" s="154"/>
      <c r="AB15" s="39"/>
      <c r="AC15" s="39"/>
      <c r="AD15" s="39"/>
      <c r="AE15" s="39"/>
      <c r="AF15" s="39"/>
      <c r="AG15" s="39"/>
      <c r="AH15" s="39"/>
      <c r="AI15" s="56"/>
      <c r="AJ15" s="56"/>
      <c r="AK15" s="56"/>
      <c r="AL15" s="56"/>
    </row>
    <row r="16" spans="1:38" s="6" customFormat="1" x14ac:dyDescent="0.2">
      <c r="A16" s="84">
        <v>0.4</v>
      </c>
      <c r="B16" s="53">
        <f t="shared" si="7"/>
        <v>1.7173710333008865</v>
      </c>
      <c r="C16" s="40">
        <f t="shared" si="0"/>
        <v>819.98426721801627</v>
      </c>
      <c r="D16" s="85">
        <f t="shared" si="1"/>
        <v>30.211616467467714</v>
      </c>
      <c r="E16" s="85">
        <f t="shared" si="8"/>
        <v>20.141077644978473</v>
      </c>
      <c r="F16" s="86">
        <f t="shared" si="2"/>
        <v>0.35152811980469989</v>
      </c>
      <c r="G16" s="311" t="s">
        <v>127</v>
      </c>
      <c r="H16" s="73">
        <v>4</v>
      </c>
      <c r="I16" s="88">
        <v>0.9</v>
      </c>
      <c r="J16" s="54"/>
      <c r="K16" s="153"/>
      <c r="L16" s="272">
        <f t="shared" si="3"/>
        <v>16.141077644978473</v>
      </c>
      <c r="M16" s="163">
        <f t="shared" si="4"/>
        <v>466.76139305006029</v>
      </c>
      <c r="N16" s="167">
        <f>SIN(RADIANS(L16))*M16</f>
        <v>129.76125571652022</v>
      </c>
      <c r="O16" s="349">
        <f t="shared" si="5"/>
        <v>448.36170059105712</v>
      </c>
      <c r="P16" s="105">
        <f t="shared" si="9"/>
        <v>13.911103480135095</v>
      </c>
      <c r="Q16" s="53">
        <f t="shared" si="10"/>
        <v>13.696778203143301</v>
      </c>
      <c r="R16" s="40">
        <f t="shared" si="6"/>
        <v>426.20848495979129</v>
      </c>
      <c r="S16" s="143"/>
      <c r="T16" s="83"/>
      <c r="U16" s="56"/>
      <c r="V16" s="90"/>
      <c r="W16" s="54"/>
      <c r="X16" s="111"/>
      <c r="Y16" s="111"/>
      <c r="Z16" s="39"/>
      <c r="AA16" s="154"/>
      <c r="AB16" s="39"/>
      <c r="AC16" s="39"/>
      <c r="AD16" s="39"/>
      <c r="AE16" s="39"/>
      <c r="AF16" s="39"/>
      <c r="AG16" s="39"/>
      <c r="AH16" s="39"/>
      <c r="AI16" s="56"/>
      <c r="AJ16" s="56"/>
      <c r="AK16" s="56"/>
      <c r="AL16" s="56"/>
    </row>
    <row r="17" spans="1:38" s="12" customFormat="1" x14ac:dyDescent="0.2">
      <c r="A17" s="89">
        <v>0.3</v>
      </c>
      <c r="B17" s="54">
        <f t="shared" si="7"/>
        <v>1.2880282749756646</v>
      </c>
      <c r="C17" s="38">
        <f t="shared" si="0"/>
        <v>614.98820041351223</v>
      </c>
      <c r="D17" s="90">
        <f t="shared" si="1"/>
        <v>37.825066493603458</v>
      </c>
      <c r="E17" s="90">
        <f t="shared" si="8"/>
        <v>25.216710995735639</v>
      </c>
      <c r="F17" s="91">
        <f t="shared" si="2"/>
        <v>0.44011463339944468</v>
      </c>
      <c r="G17" s="361" t="s">
        <v>136</v>
      </c>
      <c r="H17" s="73">
        <v>4</v>
      </c>
      <c r="I17" s="88">
        <v>0.9</v>
      </c>
      <c r="J17" s="54"/>
      <c r="K17" s="55"/>
      <c r="L17" s="273">
        <f t="shared" si="3"/>
        <v>21.216710995735639</v>
      </c>
      <c r="M17" s="162">
        <f t="shared" si="4"/>
        <v>545.535328831794</v>
      </c>
      <c r="N17" s="54">
        <f>SIN(RADIANS(L17))*M17</f>
        <v>197.42731414271066</v>
      </c>
      <c r="O17" s="54">
        <f t="shared" si="5"/>
        <v>508.55801108035752</v>
      </c>
      <c r="P17" s="54">
        <f t="shared" si="9"/>
        <v>11.414544450818111</v>
      </c>
      <c r="Q17" s="54">
        <f t="shared" si="10"/>
        <v>11.139282021101469</v>
      </c>
      <c r="R17" s="38">
        <f t="shared" si="6"/>
        <v>405.12479202211205</v>
      </c>
      <c r="S17" s="138">
        <f>(C$10-C17)/AVERAGE(M$10:M17)</f>
        <v>4.0782760692835023</v>
      </c>
      <c r="T17" s="83"/>
      <c r="U17" s="56"/>
      <c r="V17" s="90"/>
      <c r="W17" s="54"/>
      <c r="X17" s="111"/>
      <c r="Y17" s="111"/>
      <c r="Z17" s="39"/>
      <c r="AA17" s="154"/>
      <c r="AB17" s="39"/>
      <c r="AC17" s="39"/>
      <c r="AD17" s="39"/>
      <c r="AE17" s="39"/>
      <c r="AF17" s="39"/>
      <c r="AG17" s="39"/>
      <c r="AH17" s="39"/>
      <c r="AI17" s="56"/>
      <c r="AJ17" s="56"/>
      <c r="AK17" s="56"/>
      <c r="AL17" s="56"/>
    </row>
    <row r="18" spans="1:38" s="12" customFormat="1" x14ac:dyDescent="0.2">
      <c r="A18" s="89">
        <v>0.25</v>
      </c>
      <c r="B18" s="54">
        <f t="shared" si="7"/>
        <v>1.0733568958130539</v>
      </c>
      <c r="C18" s="38">
        <f t="shared" si="0"/>
        <v>512.49016701126016</v>
      </c>
      <c r="D18" s="90">
        <f t="shared" si="1"/>
        <v>42.973678304546034</v>
      </c>
      <c r="E18" s="90">
        <f t="shared" si="8"/>
        <v>28.649118869697354</v>
      </c>
      <c r="F18" s="91">
        <f t="shared" si="2"/>
        <v>0.5000214520714551</v>
      </c>
      <c r="G18" s="361" t="s">
        <v>135</v>
      </c>
      <c r="H18" s="73">
        <v>4</v>
      </c>
      <c r="I18" s="88">
        <v>0.9</v>
      </c>
      <c r="J18" s="54"/>
      <c r="K18" s="55"/>
      <c r="L18" s="273">
        <f t="shared" si="3"/>
        <v>24.649118869697354</v>
      </c>
      <c r="M18" s="162">
        <f t="shared" si="4"/>
        <v>584.03840311964507</v>
      </c>
      <c r="N18" s="201">
        <f>SIN(RADIANS(L18))*M18</f>
        <v>243.57912332556484</v>
      </c>
      <c r="O18" s="201">
        <f t="shared" ref="O18" si="11">COS(RADIANS(L18))*M18</f>
        <v>530.82018329985749</v>
      </c>
      <c r="P18" s="54">
        <f t="shared" si="9"/>
        <v>10.269014376447348</v>
      </c>
      <c r="Q18" s="54">
        <f t="shared" si="10"/>
        <v>9.94974833698193</v>
      </c>
      <c r="R18" s="38">
        <f t="shared" si="6"/>
        <v>387.40234201155135</v>
      </c>
      <c r="S18" s="138"/>
      <c r="T18" s="83"/>
      <c r="U18" s="56"/>
      <c r="V18" s="90"/>
      <c r="W18" s="54"/>
      <c r="X18" s="111"/>
      <c r="Y18" s="111"/>
      <c r="Z18" s="39"/>
      <c r="AA18" s="154"/>
      <c r="AB18" s="39"/>
      <c r="AC18" s="39"/>
      <c r="AD18" s="39"/>
      <c r="AE18" s="39"/>
      <c r="AF18" s="39"/>
      <c r="AG18" s="39"/>
      <c r="AH18" s="39"/>
      <c r="AI18" s="56"/>
      <c r="AJ18" s="56"/>
      <c r="AK18" s="56"/>
      <c r="AL18" s="56"/>
    </row>
    <row r="19" spans="1:38" s="6" customFormat="1" ht="10.5" customHeight="1" x14ac:dyDescent="0.2">
      <c r="A19" s="285">
        <v>0.2</v>
      </c>
      <c r="B19" s="286">
        <f t="shared" si="7"/>
        <v>0.85868551665044324</v>
      </c>
      <c r="C19" s="291">
        <f t="shared" si="0"/>
        <v>409.99213360900814</v>
      </c>
      <c r="D19" s="287">
        <f t="shared" si="1"/>
        <v>49.347791165411294</v>
      </c>
      <c r="E19" s="287">
        <f t="shared" si="8"/>
        <v>32.898527443607527</v>
      </c>
      <c r="F19" s="288">
        <f t="shared" si="2"/>
        <v>0.57418762294866443</v>
      </c>
      <c r="G19" s="319"/>
      <c r="H19" s="73">
        <v>4</v>
      </c>
      <c r="I19" s="88">
        <v>0.9</v>
      </c>
      <c r="J19" s="289"/>
      <c r="K19" s="290"/>
      <c r="L19" s="288">
        <f t="shared" si="3"/>
        <v>28.898527443607527</v>
      </c>
      <c r="M19" s="357"/>
      <c r="N19" s="53">
        <f>SIN(RADIANS(L19))*M19</f>
        <v>0</v>
      </c>
      <c r="O19" s="286">
        <f t="shared" si="5"/>
        <v>0</v>
      </c>
      <c r="P19" s="286">
        <f t="shared" si="9"/>
        <v>9.2265757466546976</v>
      </c>
      <c r="Q19" s="286">
        <f t="shared" si="10"/>
        <v>8.8489399250355181</v>
      </c>
      <c r="R19" s="291">
        <f t="shared" si="6"/>
        <v>0</v>
      </c>
      <c r="S19" s="292">
        <f>(C$10-C19)/AVERAGE(M$10:M19)</f>
        <v>4.3424990287326457</v>
      </c>
      <c r="T19" s="214"/>
      <c r="U19" s="56"/>
      <c r="V19" s="90"/>
      <c r="W19" s="54"/>
      <c r="X19" s="111"/>
      <c r="Y19" s="111"/>
      <c r="Z19" s="39"/>
      <c r="AA19" s="154"/>
      <c r="AB19" s="39"/>
      <c r="AC19" s="39"/>
      <c r="AD19" s="39"/>
      <c r="AE19" s="39"/>
      <c r="AF19" s="39"/>
      <c r="AG19" s="39"/>
      <c r="AH19" s="39"/>
      <c r="AI19" s="56"/>
      <c r="AJ19" s="56"/>
      <c r="AK19" s="56"/>
      <c r="AL19" s="56"/>
    </row>
    <row r="20" spans="1:38" s="12" customFormat="1" ht="10.8" thickBot="1" x14ac:dyDescent="0.25">
      <c r="A20" s="293">
        <v>0.1</v>
      </c>
      <c r="B20" s="294">
        <f t="shared" si="7"/>
        <v>0.42934275832522162</v>
      </c>
      <c r="C20" s="300">
        <f t="shared" si="0"/>
        <v>204.99606680450407</v>
      </c>
      <c r="D20" s="295">
        <f t="shared" si="1"/>
        <v>66.764083656551406</v>
      </c>
      <c r="E20" s="295">
        <f t="shared" si="8"/>
        <v>44.5093891043676</v>
      </c>
      <c r="F20" s="296">
        <f t="shared" si="2"/>
        <v>0.77683538792250462</v>
      </c>
      <c r="G20" s="312"/>
      <c r="H20" s="73">
        <v>4</v>
      </c>
      <c r="I20" s="88">
        <v>0.9</v>
      </c>
      <c r="J20" s="294"/>
      <c r="K20" s="298"/>
      <c r="L20" s="296">
        <f t="shared" si="3"/>
        <v>40.5093891043676</v>
      </c>
      <c r="M20" s="358">
        <v>50</v>
      </c>
      <c r="N20" s="294"/>
      <c r="O20" s="351">
        <f t="shared" si="5"/>
        <v>38.014976491458036</v>
      </c>
      <c r="P20" s="299">
        <f t="shared" si="9"/>
        <v>7.6179016141053673</v>
      </c>
      <c r="Q20" s="294">
        <f t="shared" si="10"/>
        <v>7.0504401325204551</v>
      </c>
      <c r="R20" s="300">
        <f t="shared" si="6"/>
        <v>23.501467108401513</v>
      </c>
      <c r="S20" s="301">
        <f>(C$10-C20)/AVERAGE(M$10:M20)</f>
        <v>5.3494302180602897</v>
      </c>
      <c r="T20" s="83"/>
      <c r="U20" s="56"/>
      <c r="V20" s="90"/>
      <c r="W20" s="54"/>
      <c r="X20" s="111"/>
      <c r="Y20" s="111"/>
      <c r="Z20" s="39"/>
      <c r="AA20" s="154"/>
      <c r="AB20" s="39"/>
      <c r="AC20" s="39"/>
      <c r="AD20" s="39"/>
      <c r="AE20" s="39"/>
      <c r="AF20" s="39"/>
      <c r="AG20" s="39"/>
      <c r="AH20" s="39"/>
      <c r="AI20" s="56"/>
      <c r="AJ20" s="56"/>
      <c r="AK20" s="56"/>
      <c r="AL20" s="56"/>
    </row>
    <row r="21" spans="1:38" s="14" customFormat="1" x14ac:dyDescent="0.2">
      <c r="C21" s="315"/>
      <c r="D21" s="16"/>
      <c r="E21" s="16"/>
      <c r="F21" s="17"/>
      <c r="G21" s="20"/>
      <c r="H21" s="17"/>
      <c r="I21" s="259">
        <f>AVERAGE(I10:I20)</f>
        <v>0.89545454545454561</v>
      </c>
      <c r="J21" s="36"/>
      <c r="K21" s="18"/>
      <c r="L21" s="17"/>
      <c r="M21" s="8">
        <f>AVERAGE(M10:M20)</f>
        <v>344.88992771823143</v>
      </c>
      <c r="N21" s="22"/>
      <c r="O21" s="22"/>
      <c r="P21" s="7"/>
      <c r="Q21" s="19"/>
      <c r="R21" s="19"/>
      <c r="S21" s="19"/>
      <c r="T21" s="19"/>
      <c r="U21" s="196"/>
      <c r="V21" s="186"/>
      <c r="W21" s="196"/>
      <c r="X21" s="196"/>
      <c r="Y21" s="197"/>
      <c r="Z21" s="198"/>
      <c r="AA21" s="198"/>
      <c r="AB21" s="198"/>
      <c r="AC21" s="198"/>
      <c r="AD21" s="198"/>
      <c r="AE21" s="198"/>
      <c r="AF21" s="198"/>
      <c r="AG21" s="198"/>
      <c r="AH21" s="198"/>
      <c r="AI21" s="190"/>
      <c r="AJ21" s="196"/>
      <c r="AK21" s="196"/>
      <c r="AL21" s="196"/>
    </row>
    <row r="22" spans="1:38" x14ac:dyDescent="0.2">
      <c r="C22" s="316"/>
      <c r="D22" s="9"/>
      <c r="E22" s="9"/>
      <c r="F22" s="10"/>
      <c r="G22" s="10"/>
      <c r="H22" s="10"/>
      <c r="I22" s="8"/>
      <c r="J22" s="37"/>
      <c r="K22" s="8"/>
      <c r="L22" s="8"/>
      <c r="U22" s="56"/>
      <c r="V22" s="83"/>
      <c r="W22" s="54"/>
      <c r="X22" s="56"/>
      <c r="Y22" s="111"/>
      <c r="Z22" s="39"/>
      <c r="AA22" s="39"/>
      <c r="AB22" s="39"/>
      <c r="AC22" s="39"/>
      <c r="AD22" s="39"/>
      <c r="AE22" s="39"/>
      <c r="AF22" s="39"/>
      <c r="AG22" s="39"/>
      <c r="AH22" s="38"/>
      <c r="AI22" s="56"/>
      <c r="AJ22" s="56"/>
      <c r="AK22" s="56"/>
      <c r="AL22" s="56"/>
    </row>
    <row r="23" spans="1:38" x14ac:dyDescent="0.2">
      <c r="U23" s="56"/>
      <c r="V23" s="199"/>
      <c r="W23" s="56"/>
      <c r="X23" s="56"/>
      <c r="Y23" s="111"/>
      <c r="Z23" s="39"/>
      <c r="AA23" s="39"/>
      <c r="AB23" s="39"/>
      <c r="AC23" s="39"/>
      <c r="AD23" s="39"/>
      <c r="AE23" s="39"/>
      <c r="AF23" s="200"/>
      <c r="AG23" s="201"/>
      <c r="AH23" s="39"/>
      <c r="AI23" s="56"/>
      <c r="AJ23" s="56"/>
      <c r="AK23" s="56"/>
      <c r="AL23" s="56"/>
    </row>
    <row r="24" spans="1:38" x14ac:dyDescent="0.2"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</row>
    <row r="25" spans="1:38" x14ac:dyDescent="0.2"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</row>
    <row r="40" spans="6:20" x14ac:dyDescent="0.2">
      <c r="F40" s="3"/>
      <c r="M40" s="2"/>
      <c r="N40" s="2"/>
      <c r="O40" s="2"/>
      <c r="P40" s="2"/>
      <c r="Q40" s="2"/>
      <c r="R40" s="2"/>
      <c r="S40" s="2"/>
      <c r="T40" s="2"/>
    </row>
    <row r="41" spans="6:20" ht="11.25" customHeight="1" x14ac:dyDescent="0.2">
      <c r="F41" s="3"/>
      <c r="H41" s="395" t="s">
        <v>20</v>
      </c>
      <c r="L41" s="398" t="s">
        <v>129</v>
      </c>
      <c r="M41" s="397" t="s">
        <v>22</v>
      </c>
      <c r="N41" s="397"/>
      <c r="O41" s="397"/>
      <c r="P41" s="397"/>
      <c r="Q41" s="397"/>
      <c r="R41" s="399" t="s">
        <v>21</v>
      </c>
      <c r="S41" s="399"/>
      <c r="T41" s="184"/>
    </row>
    <row r="42" spans="6:20" ht="11.25" customHeight="1" x14ac:dyDescent="0.2">
      <c r="F42" s="3"/>
      <c r="H42" s="395"/>
      <c r="L42" s="398"/>
      <c r="M42" s="397"/>
      <c r="N42" s="397"/>
      <c r="O42" s="397"/>
      <c r="P42" s="397"/>
      <c r="Q42" s="397"/>
      <c r="R42" s="399"/>
      <c r="S42" s="399"/>
      <c r="T42" s="184"/>
    </row>
    <row r="43" spans="6:20" ht="11.25" customHeight="1" x14ac:dyDescent="0.2">
      <c r="F43" s="3"/>
      <c r="M43" s="2"/>
      <c r="N43" s="2"/>
      <c r="O43" s="2"/>
      <c r="P43" s="2"/>
      <c r="Q43" s="3"/>
      <c r="R43" s="21"/>
    </row>
    <row r="44" spans="6:20" ht="11.25" customHeight="1" x14ac:dyDescent="0.2">
      <c r="F44" s="3"/>
      <c r="L44" s="398" t="s">
        <v>130</v>
      </c>
      <c r="M44" s="397" t="s">
        <v>117</v>
      </c>
      <c r="N44" s="397"/>
      <c r="O44" s="397"/>
      <c r="P44" s="397"/>
      <c r="Q44" s="397"/>
      <c r="R44" s="399" t="s">
        <v>23</v>
      </c>
      <c r="S44" s="399"/>
      <c r="T44" s="184"/>
    </row>
    <row r="45" spans="6:20" ht="12.75" customHeight="1" x14ac:dyDescent="0.2">
      <c r="F45" s="3"/>
      <c r="J45" s="151"/>
      <c r="L45" s="398"/>
      <c r="M45" s="397"/>
      <c r="N45" s="397"/>
      <c r="O45" s="397"/>
      <c r="P45" s="397"/>
      <c r="Q45" s="397"/>
      <c r="R45" s="399"/>
      <c r="S45" s="399"/>
      <c r="T45" s="184"/>
    </row>
    <row r="46" spans="6:20" ht="11.25" customHeight="1" x14ac:dyDescent="0.2">
      <c r="F46" s="3"/>
      <c r="J46" s="151"/>
      <c r="M46" s="2"/>
      <c r="N46" s="2"/>
      <c r="O46" s="2"/>
      <c r="P46" s="2"/>
      <c r="Q46" s="2"/>
      <c r="R46" s="2"/>
    </row>
    <row r="47" spans="6:20" ht="15" x14ac:dyDescent="0.25">
      <c r="F47" s="3"/>
      <c r="I47" s="99" t="s">
        <v>75</v>
      </c>
      <c r="Q47" s="3"/>
    </row>
    <row r="48" spans="6:20" ht="13.5" customHeight="1" x14ac:dyDescent="0.25">
      <c r="I48" s="235"/>
      <c r="M48" s="152"/>
      <c r="N48" s="152"/>
      <c r="O48" s="152"/>
      <c r="P48" s="152"/>
      <c r="Q48" s="152"/>
      <c r="R48" s="152"/>
    </row>
    <row r="49" spans="13:18" ht="11.25" customHeight="1" x14ac:dyDescent="0.2">
      <c r="M49" s="152"/>
      <c r="N49" s="152"/>
      <c r="O49" s="152"/>
      <c r="P49" s="152"/>
      <c r="Q49" s="152"/>
      <c r="R49" s="152"/>
    </row>
    <row r="81" spans="3:20" x14ac:dyDescent="0.2">
      <c r="S81" s="109"/>
      <c r="T81" s="109"/>
    </row>
    <row r="82" spans="3:20" x14ac:dyDescent="0.2">
      <c r="C82" s="317" t="s">
        <v>85</v>
      </c>
    </row>
    <row r="126" spans="3:3" ht="15" x14ac:dyDescent="0.25">
      <c r="C126" s="318"/>
    </row>
  </sheetData>
  <mergeCells count="12">
    <mergeCell ref="R41:S42"/>
    <mergeCell ref="R44:S45"/>
    <mergeCell ref="M41:Q42"/>
    <mergeCell ref="N4:N7"/>
    <mergeCell ref="O4:O7"/>
    <mergeCell ref="E7:F7"/>
    <mergeCell ref="H41:H42"/>
    <mergeCell ref="H2:J2"/>
    <mergeCell ref="G3:J3"/>
    <mergeCell ref="M44:Q45"/>
    <mergeCell ref="L41:L42"/>
    <mergeCell ref="L44:L45"/>
  </mergeCells>
  <phoneticPr fontId="0" type="noConversion"/>
  <printOptions gridLines="1"/>
  <pageMargins left="0.78740157499999996" right="0.78740157499999996" top="0.984251969" bottom="0.984251969" header="0.4921259845" footer="0.4921259845"/>
  <pageSetup paperSize="9" scale="90" orientation="landscape" r:id="rId1"/>
  <headerFooter alignWithMargins="0">
    <oddHeader>&amp;C&amp;"Arial,Fett"&amp;A</oddHeader>
    <oddFooter>&amp;L&amp;F&amp;C&amp;P/&amp;N&amp;R&amp;D</oddFooter>
  </headerFooter>
  <rowBreaks count="1" manualBreakCount="1">
    <brk id="39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F51"/>
  <sheetViews>
    <sheetView workbookViewId="0">
      <selection activeCell="B3" sqref="B3"/>
    </sheetView>
  </sheetViews>
  <sheetFormatPr baseColWidth="10" defaultColWidth="11.44140625" defaultRowHeight="10.199999999999999" x14ac:dyDescent="0.2"/>
  <cols>
    <col min="1" max="1" width="7.109375" style="2" customWidth="1"/>
    <col min="2" max="2" width="7.33203125" style="2" customWidth="1"/>
    <col min="3" max="3" width="8" style="2" customWidth="1"/>
    <col min="4" max="4" width="8.6640625" style="2" customWidth="1"/>
    <col min="5" max="5" width="7.5546875" style="3" customWidth="1"/>
    <col min="6" max="6" width="11.6640625" style="3" customWidth="1"/>
    <col min="7" max="7" width="8.33203125" style="2" customWidth="1"/>
    <col min="8" max="10" width="5.5546875" style="2" customWidth="1"/>
    <col min="11" max="11" width="6" style="2" customWidth="1"/>
    <col min="12" max="12" width="7" style="2" customWidth="1"/>
    <col min="13" max="13" width="9.33203125" style="4" customWidth="1"/>
    <col min="14" max="14" width="6.88671875" style="4" customWidth="1"/>
    <col min="15" max="16" width="6.5546875" style="4" customWidth="1"/>
    <col min="17" max="17" width="7.33203125" style="4" customWidth="1"/>
    <col min="18" max="18" width="8.6640625" style="4" customWidth="1"/>
    <col min="19" max="16384" width="11.44140625" style="2"/>
  </cols>
  <sheetData>
    <row r="1" spans="1:162" ht="13.2" x14ac:dyDescent="0.25">
      <c r="A1" s="60" t="s">
        <v>33</v>
      </c>
      <c r="B1" s="49"/>
      <c r="C1" s="49"/>
      <c r="D1" s="49"/>
      <c r="E1" s="115"/>
      <c r="F1" s="115"/>
      <c r="G1" s="49"/>
      <c r="H1" s="49"/>
      <c r="I1" s="49"/>
      <c r="J1" s="49"/>
      <c r="K1" s="49"/>
      <c r="L1" s="49"/>
      <c r="M1" s="63"/>
      <c r="N1" s="63"/>
      <c r="O1" s="159" t="s">
        <v>69</v>
      </c>
      <c r="P1" s="63"/>
      <c r="Q1" s="63"/>
      <c r="R1" s="135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</row>
    <row r="2" spans="1:162" x14ac:dyDescent="0.2">
      <c r="A2" s="250" t="s">
        <v>85</v>
      </c>
      <c r="B2" s="29"/>
      <c r="C2" s="28"/>
      <c r="D2" s="28"/>
      <c r="E2" s="44"/>
      <c r="F2" s="396" t="s">
        <v>112</v>
      </c>
      <c r="G2" s="396"/>
      <c r="H2" s="396"/>
      <c r="I2" s="157" t="s">
        <v>25</v>
      </c>
      <c r="K2" s="28"/>
      <c r="M2" s="65"/>
      <c r="N2" s="65"/>
      <c r="O2" s="160" t="s">
        <v>68</v>
      </c>
      <c r="P2" s="65"/>
      <c r="Q2" s="65"/>
      <c r="R2" s="137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</row>
    <row r="3" spans="1:162" ht="12" customHeight="1" thickBot="1" x14ac:dyDescent="0.25">
      <c r="A3" s="67" t="s">
        <v>0</v>
      </c>
      <c r="B3" s="56">
        <f>Schmitz!B3</f>
        <v>4.2934275832522157</v>
      </c>
      <c r="C3" s="68" t="s">
        <v>27</v>
      </c>
      <c r="D3" s="44"/>
      <c r="E3" s="44"/>
      <c r="F3" s="396" t="s">
        <v>109</v>
      </c>
      <c r="G3" s="396"/>
      <c r="H3" s="396"/>
      <c r="I3" s="158" t="s">
        <v>71</v>
      </c>
      <c r="K3" s="28"/>
      <c r="M3" s="65"/>
      <c r="N3" s="65"/>
      <c r="O3" s="161">
        <f>AVERAGE(O10:O20)/1000*E4*B5/'Ø-Bestimmung'!F30*100</f>
        <v>15.832553174983621</v>
      </c>
      <c r="P3" s="65"/>
      <c r="Q3" s="65"/>
      <c r="R3" s="137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</row>
    <row r="4" spans="1:162" ht="15.75" customHeight="1" x14ac:dyDescent="0.3">
      <c r="A4" s="69" t="s">
        <v>1</v>
      </c>
      <c r="B4" s="39">
        <f>Schmitz!B4</f>
        <v>4.0999213360900812</v>
      </c>
      <c r="C4" s="68" t="s">
        <v>26</v>
      </c>
      <c r="D4" s="70" t="s">
        <v>2</v>
      </c>
      <c r="E4" s="46">
        <f>B4/2</f>
        <v>2.0499606680450406</v>
      </c>
      <c r="F4" s="44" t="s">
        <v>72</v>
      </c>
      <c r="G4" s="28"/>
      <c r="H4" s="28"/>
      <c r="I4" s="28"/>
      <c r="J4" s="28"/>
      <c r="K4" s="28"/>
      <c r="M4" s="65"/>
      <c r="N4" s="400" t="s">
        <v>77</v>
      </c>
      <c r="O4" s="401" t="s">
        <v>113</v>
      </c>
      <c r="P4" s="114"/>
      <c r="Q4" s="49" t="s">
        <v>13</v>
      </c>
      <c r="R4" s="135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</row>
    <row r="5" spans="1:162" s="1" customFormat="1" ht="13.5" customHeight="1" x14ac:dyDescent="0.2">
      <c r="A5" s="52" t="s">
        <v>3</v>
      </c>
      <c r="B5" s="103">
        <f>Schmitz!B5</f>
        <v>3</v>
      </c>
      <c r="C5" s="68" t="s">
        <v>28</v>
      </c>
      <c r="D5" s="29"/>
      <c r="E5" s="29"/>
      <c r="F5" s="29"/>
      <c r="G5" s="29"/>
      <c r="H5" s="29"/>
      <c r="I5" s="29"/>
      <c r="J5" s="29"/>
      <c r="K5" s="29"/>
      <c r="L5" s="81"/>
      <c r="M5" s="47"/>
      <c r="N5" s="400"/>
      <c r="O5" s="401"/>
      <c r="P5" s="51"/>
      <c r="Q5" s="47">
        <v>7</v>
      </c>
      <c r="R5" s="136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</row>
    <row r="6" spans="1:162" s="1" customFormat="1" ht="29.4" customHeight="1" x14ac:dyDescent="0.2">
      <c r="A6" s="52"/>
      <c r="B6" s="56"/>
      <c r="C6" s="29"/>
      <c r="D6" s="145"/>
      <c r="E6" s="145"/>
      <c r="F6" s="145"/>
      <c r="G6" s="29"/>
      <c r="H6" s="29"/>
      <c r="I6" s="29"/>
      <c r="J6" s="29"/>
      <c r="K6" s="29"/>
      <c r="L6" s="29"/>
      <c r="M6" s="29"/>
      <c r="N6" s="400"/>
      <c r="O6" s="401"/>
      <c r="P6" s="52"/>
      <c r="Q6" s="29"/>
      <c r="R6" s="116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</row>
    <row r="7" spans="1:162" ht="27.6" customHeight="1" x14ac:dyDescent="0.25">
      <c r="A7" s="76"/>
      <c r="B7" s="28"/>
      <c r="C7" s="394" t="s">
        <v>16</v>
      </c>
      <c r="D7" s="402"/>
      <c r="E7" s="402"/>
      <c r="F7" s="29" t="s">
        <v>19</v>
      </c>
      <c r="G7" s="77" t="s">
        <v>17</v>
      </c>
      <c r="H7" s="77"/>
      <c r="I7" s="77"/>
      <c r="J7" s="77"/>
      <c r="K7" s="77"/>
      <c r="L7" s="309" t="s">
        <v>29</v>
      </c>
      <c r="M7" s="310" t="s">
        <v>18</v>
      </c>
      <c r="N7" s="400"/>
      <c r="O7" s="401"/>
      <c r="P7" s="104" t="s">
        <v>76</v>
      </c>
      <c r="Q7" s="65"/>
      <c r="R7" s="136" t="s">
        <v>31</v>
      </c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</row>
    <row r="8" spans="1:162" s="237" customFormat="1" ht="18" customHeight="1" x14ac:dyDescent="0.35">
      <c r="A8" s="203" t="s">
        <v>11</v>
      </c>
      <c r="B8" s="204" t="s">
        <v>4</v>
      </c>
      <c r="C8" s="247" t="s">
        <v>101</v>
      </c>
      <c r="D8" s="240" t="s">
        <v>6</v>
      </c>
      <c r="E8" s="240" t="s">
        <v>6</v>
      </c>
      <c r="F8" s="204"/>
      <c r="G8" s="240" t="s">
        <v>9</v>
      </c>
      <c r="H8" s="204" t="s">
        <v>99</v>
      </c>
      <c r="I8" s="204"/>
      <c r="J8" s="204" t="s">
        <v>55</v>
      </c>
      <c r="K8" s="204" t="s">
        <v>70</v>
      </c>
      <c r="L8" s="335" t="s">
        <v>10</v>
      </c>
      <c r="M8" s="340" t="s">
        <v>131</v>
      </c>
      <c r="N8" s="246" t="s">
        <v>110</v>
      </c>
      <c r="O8" s="251" t="s">
        <v>111</v>
      </c>
      <c r="P8" s="245" t="s">
        <v>102</v>
      </c>
      <c r="Q8" s="242" t="s">
        <v>12</v>
      </c>
      <c r="R8" s="248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249"/>
      <c r="CF8" s="249"/>
      <c r="CG8" s="249"/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49"/>
      <c r="CS8" s="249"/>
      <c r="CT8" s="249"/>
      <c r="CU8" s="249"/>
      <c r="CV8" s="249"/>
      <c r="CW8" s="249"/>
      <c r="CX8" s="249"/>
      <c r="CY8" s="249"/>
      <c r="CZ8" s="249"/>
      <c r="DA8" s="249"/>
      <c r="DB8" s="249"/>
      <c r="DC8" s="249"/>
      <c r="DD8" s="249"/>
      <c r="DE8" s="249"/>
      <c r="DF8" s="249"/>
      <c r="DG8" s="249"/>
      <c r="DH8" s="249"/>
      <c r="DI8" s="249"/>
      <c r="DJ8" s="249"/>
      <c r="DK8" s="249"/>
      <c r="DL8" s="249"/>
      <c r="DM8" s="249"/>
      <c r="DN8" s="249"/>
      <c r="DO8" s="249"/>
      <c r="DP8" s="249"/>
      <c r="DQ8" s="249"/>
      <c r="DR8" s="249"/>
      <c r="DS8" s="249"/>
      <c r="DT8" s="249"/>
      <c r="DU8" s="249"/>
      <c r="DV8" s="249"/>
      <c r="DW8" s="249"/>
      <c r="DX8" s="249"/>
      <c r="DY8" s="249"/>
      <c r="DZ8" s="249"/>
      <c r="EA8" s="249"/>
      <c r="EB8" s="249"/>
      <c r="EC8" s="249"/>
      <c r="ED8" s="249"/>
      <c r="EE8" s="249"/>
      <c r="EF8" s="249"/>
      <c r="EG8" s="249"/>
      <c r="EH8" s="249"/>
      <c r="EI8" s="249"/>
      <c r="EJ8" s="249"/>
      <c r="EK8" s="249"/>
      <c r="EL8" s="249"/>
      <c r="EM8" s="249"/>
      <c r="EN8" s="249"/>
      <c r="EO8" s="249"/>
      <c r="EP8" s="249"/>
      <c r="EQ8" s="249"/>
      <c r="ER8" s="249"/>
      <c r="ES8" s="249"/>
      <c r="ET8" s="249"/>
      <c r="EU8" s="249"/>
      <c r="EV8" s="249"/>
      <c r="EW8" s="249"/>
      <c r="EX8" s="249"/>
      <c r="EY8" s="249"/>
      <c r="EZ8" s="249"/>
      <c r="FA8" s="249"/>
      <c r="FB8" s="249"/>
      <c r="FC8" s="249"/>
      <c r="FD8" s="249"/>
      <c r="FE8" s="249"/>
      <c r="FF8" s="249"/>
    </row>
    <row r="9" spans="1:162" x14ac:dyDescent="0.2">
      <c r="A9" s="52"/>
      <c r="B9" s="29" t="s">
        <v>8</v>
      </c>
      <c r="C9" s="29"/>
      <c r="D9" s="81" t="s">
        <v>15</v>
      </c>
      <c r="E9" s="46" t="s">
        <v>7</v>
      </c>
      <c r="F9" s="29"/>
      <c r="G9" s="29" t="s">
        <v>7</v>
      </c>
      <c r="H9" s="28"/>
      <c r="I9" s="29"/>
      <c r="J9" s="29" t="s">
        <v>59</v>
      </c>
      <c r="K9" s="29" t="s">
        <v>59</v>
      </c>
      <c r="L9" s="336" t="s">
        <v>7</v>
      </c>
      <c r="M9" s="341" t="s">
        <v>8</v>
      </c>
      <c r="N9" s="79" t="s">
        <v>8</v>
      </c>
      <c r="O9" s="79" t="s">
        <v>8</v>
      </c>
      <c r="P9" s="104" t="s">
        <v>5</v>
      </c>
      <c r="Q9" s="83" t="s">
        <v>14</v>
      </c>
      <c r="R9" s="138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</row>
    <row r="10" spans="1:162" s="23" customFormat="1" x14ac:dyDescent="0.2">
      <c r="A10" s="305">
        <v>1</v>
      </c>
      <c r="B10" s="352">
        <f t="shared" ref="B10:B20" si="0">A10*E$4*1000</f>
        <v>2049.9606680450406</v>
      </c>
      <c r="C10" s="146">
        <f>2/3/A10/B$3</f>
        <v>0.15527609438836168</v>
      </c>
      <c r="D10" s="58">
        <f t="shared" ref="D10:D20" si="1">ATAN(C10)</f>
        <v>0.15404590568968604</v>
      </c>
      <c r="E10" s="58">
        <f t="shared" ref="E10:E20" si="2">D10*180/PI()</f>
        <v>8.8261802472893258</v>
      </c>
      <c r="F10" s="96" t="str">
        <f>Schmitz!G10</f>
        <v>NACA 4412</v>
      </c>
      <c r="G10" s="96">
        <f>Schmitz!H10</f>
        <v>3.5</v>
      </c>
      <c r="H10" s="323">
        <f>Schmitz!I10</f>
        <v>0.85</v>
      </c>
      <c r="I10" s="58"/>
      <c r="J10" s="58"/>
      <c r="K10" s="146"/>
      <c r="L10" s="337">
        <f t="shared" ref="L10:L20" si="3">E10-G10</f>
        <v>5.3261802472893258</v>
      </c>
      <c r="M10" s="342">
        <f t="shared" ref="M10:M17" si="4">2*PI()*E$4/B$5*8/9/H10/B$3/SQRT(B$3^2*A10^2+4/9)*1000</f>
        <v>240.68607527582546</v>
      </c>
      <c r="N10" s="168"/>
      <c r="O10" s="168">
        <f t="shared" ref="O10:O20" si="5">COS(RADIANS(L10))*M10</f>
        <v>239.64688599806286</v>
      </c>
      <c r="P10" s="107">
        <f t="shared" ref="P10:P20" si="6">2/3*Q$5/SIN(D10)</f>
        <v>30.414146017876199</v>
      </c>
      <c r="Q10" s="57">
        <f t="shared" ref="Q10:Q18" si="7">P10*M10/1000/0.000015/1000</f>
        <v>488.01742919389983</v>
      </c>
      <c r="R10" s="139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</row>
    <row r="11" spans="1:162" s="12" customFormat="1" x14ac:dyDescent="0.2">
      <c r="A11" s="306">
        <v>0.9</v>
      </c>
      <c r="B11" s="353">
        <f t="shared" si="0"/>
        <v>1844.9646012405365</v>
      </c>
      <c r="C11" s="55">
        <f t="shared" ref="C11:C20" si="8">2/3/A11/B$3</f>
        <v>0.17252899376484632</v>
      </c>
      <c r="D11" s="39">
        <f t="shared" si="1"/>
        <v>0.17084708432412435</v>
      </c>
      <c r="E11" s="39">
        <f t="shared" si="2"/>
        <v>9.7888168738880115</v>
      </c>
      <c r="F11" s="92" t="str">
        <f>Schmitz!G11</f>
        <v>NACA 4412</v>
      </c>
      <c r="G11" s="83">
        <f>Schmitz!H11</f>
        <v>4</v>
      </c>
      <c r="H11" s="39">
        <f>Schmitz!I11</f>
        <v>0.9</v>
      </c>
      <c r="I11" s="39"/>
      <c r="J11" s="39"/>
      <c r="K11" s="55"/>
      <c r="L11" s="338">
        <f t="shared" si="3"/>
        <v>5.7888168738880115</v>
      </c>
      <c r="M11" s="343">
        <f t="shared" si="4"/>
        <v>251.87727655517983</v>
      </c>
      <c r="N11" s="166"/>
      <c r="O11" s="166">
        <f t="shared" si="5"/>
        <v>250.59280679393189</v>
      </c>
      <c r="P11" s="106">
        <f t="shared" si="6"/>
        <v>27.448209467196587</v>
      </c>
      <c r="Q11" s="54">
        <f t="shared" si="7"/>
        <v>460.9053497942387</v>
      </c>
      <c r="R11" s="140"/>
    </row>
    <row r="12" spans="1:162" s="23" customFormat="1" x14ac:dyDescent="0.2">
      <c r="A12" s="305">
        <v>0.8</v>
      </c>
      <c r="B12" s="352">
        <f t="shared" si="0"/>
        <v>1639.9685344360325</v>
      </c>
      <c r="C12" s="146">
        <f t="shared" si="8"/>
        <v>0.19409511798545209</v>
      </c>
      <c r="D12" s="58">
        <f t="shared" si="1"/>
        <v>0.19171139515397445</v>
      </c>
      <c r="E12" s="58">
        <f t="shared" si="2"/>
        <v>10.984253826887521</v>
      </c>
      <c r="F12" s="96" t="str">
        <f>Schmitz!G12</f>
        <v>NACA 4412</v>
      </c>
      <c r="G12" s="320">
        <f>Schmitz!H12</f>
        <v>4</v>
      </c>
      <c r="H12" s="58">
        <f>Schmitz!I12</f>
        <v>0.9</v>
      </c>
      <c r="I12" s="58"/>
      <c r="J12" s="58"/>
      <c r="K12" s="146"/>
      <c r="L12" s="337">
        <f t="shared" si="3"/>
        <v>6.9842538268875209</v>
      </c>
      <c r="M12" s="344">
        <f t="shared" si="4"/>
        <v>282.2803183310516</v>
      </c>
      <c r="N12" s="165"/>
      <c r="O12" s="165">
        <f t="shared" si="5"/>
        <v>280.18568732116131</v>
      </c>
      <c r="P12" s="107">
        <f t="shared" si="6"/>
        <v>24.491896168281556</v>
      </c>
      <c r="Q12" s="57">
        <f t="shared" si="7"/>
        <v>460.9053497942387</v>
      </c>
      <c r="R12" s="139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</row>
    <row r="13" spans="1:162" s="12" customFormat="1" x14ac:dyDescent="0.2">
      <c r="A13" s="306">
        <v>0.7</v>
      </c>
      <c r="B13" s="353">
        <f t="shared" si="0"/>
        <v>1434.9724676315284</v>
      </c>
      <c r="C13" s="55">
        <f t="shared" si="8"/>
        <v>0.22182299198337385</v>
      </c>
      <c r="D13" s="39">
        <f t="shared" si="1"/>
        <v>0.21828847079235203</v>
      </c>
      <c r="E13" s="39">
        <f t="shared" si="2"/>
        <v>12.507008092766512</v>
      </c>
      <c r="F13" s="92" t="str">
        <f>Schmitz!G13</f>
        <v>NACA 4412</v>
      </c>
      <c r="G13" s="83">
        <f>Schmitz!H13</f>
        <v>4</v>
      </c>
      <c r="H13" s="39">
        <f>Schmitz!I13</f>
        <v>0.9</v>
      </c>
      <c r="I13" s="39"/>
      <c r="J13" s="39"/>
      <c r="K13" s="55"/>
      <c r="L13" s="338">
        <f t="shared" si="3"/>
        <v>8.5070080927665117</v>
      </c>
      <c r="M13" s="343">
        <f t="shared" si="4"/>
        <v>320.82818855508265</v>
      </c>
      <c r="N13" s="166"/>
      <c r="O13" s="166">
        <f t="shared" si="5"/>
        <v>317.29836520294828</v>
      </c>
      <c r="P13" s="106">
        <f t="shared" si="6"/>
        <v>21.549167104207232</v>
      </c>
      <c r="Q13" s="54">
        <f t="shared" si="7"/>
        <v>460.90534979423882</v>
      </c>
      <c r="R13" s="140"/>
    </row>
    <row r="14" spans="1:162" s="6" customFormat="1" ht="9.75" customHeight="1" x14ac:dyDescent="0.2">
      <c r="A14" s="307">
        <v>0.6</v>
      </c>
      <c r="B14" s="354">
        <f t="shared" si="0"/>
        <v>1229.9764008270245</v>
      </c>
      <c r="C14" s="153">
        <f t="shared" si="8"/>
        <v>0.25879349064726948</v>
      </c>
      <c r="D14" s="41">
        <f t="shared" si="1"/>
        <v>0.25323761320768295</v>
      </c>
      <c r="E14" s="41">
        <f t="shared" si="2"/>
        <v>14.509446450766626</v>
      </c>
      <c r="F14" s="87" t="str">
        <f>Schmitz!G14</f>
        <v>NACA 4412</v>
      </c>
      <c r="G14" s="185">
        <f>Schmitz!H14</f>
        <v>4</v>
      </c>
      <c r="H14" s="41">
        <f>Schmitz!I14</f>
        <v>0.9</v>
      </c>
      <c r="I14" s="41"/>
      <c r="J14" s="41"/>
      <c r="K14" s="153"/>
      <c r="L14" s="339">
        <f t="shared" si="3"/>
        <v>10.509446450766626</v>
      </c>
      <c r="M14" s="345">
        <f t="shared" si="4"/>
        <v>371.16980854451651</v>
      </c>
      <c r="N14" s="53"/>
      <c r="O14" s="142">
        <f t="shared" si="5"/>
        <v>364.94337885754243</v>
      </c>
      <c r="P14" s="105">
        <f t="shared" si="6"/>
        <v>18.62646176429082</v>
      </c>
      <c r="Q14" s="53">
        <f t="shared" si="7"/>
        <v>460.9053497942387</v>
      </c>
      <c r="R14" s="14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</row>
    <row r="15" spans="1:162" s="12" customFormat="1" x14ac:dyDescent="0.2">
      <c r="A15" s="306">
        <v>0.5</v>
      </c>
      <c r="B15" s="353">
        <f t="shared" si="0"/>
        <v>1024.9803340225203</v>
      </c>
      <c r="C15" s="55">
        <f t="shared" si="8"/>
        <v>0.31055218877672336</v>
      </c>
      <c r="D15" s="39">
        <f t="shared" si="1"/>
        <v>0.30110936724874693</v>
      </c>
      <c r="E15" s="39">
        <f t="shared" si="2"/>
        <v>17.252295915207938</v>
      </c>
      <c r="F15" s="92" t="str">
        <f>Schmitz!G15</f>
        <v>NACA 4412</v>
      </c>
      <c r="G15" s="83">
        <f>Schmitz!H15</f>
        <v>4</v>
      </c>
      <c r="H15" s="39">
        <f>Schmitz!I15</f>
        <v>0.9</v>
      </c>
      <c r="I15" s="39"/>
      <c r="J15" s="39"/>
      <c r="K15" s="55"/>
      <c r="L15" s="338">
        <f t="shared" si="3"/>
        <v>13.252295915207938</v>
      </c>
      <c r="M15" s="343">
        <f t="shared" si="4"/>
        <v>439.37754608713874</v>
      </c>
      <c r="N15" s="166"/>
      <c r="O15" s="166">
        <f t="shared" si="5"/>
        <v>427.6769542526327</v>
      </c>
      <c r="P15" s="106">
        <f t="shared" si="6"/>
        <v>15.734942098161881</v>
      </c>
      <c r="Q15" s="54">
        <f t="shared" si="7"/>
        <v>460.90534979423876</v>
      </c>
      <c r="R15" s="140"/>
    </row>
    <row r="16" spans="1:162" s="23" customFormat="1" x14ac:dyDescent="0.2">
      <c r="A16" s="305">
        <v>0.4</v>
      </c>
      <c r="B16" s="352">
        <f t="shared" si="0"/>
        <v>819.98426721801627</v>
      </c>
      <c r="C16" s="146">
        <f t="shared" si="8"/>
        <v>0.38819023597090418</v>
      </c>
      <c r="D16" s="58">
        <f t="shared" si="1"/>
        <v>0.37028427285179921</v>
      </c>
      <c r="E16" s="58">
        <f t="shared" si="2"/>
        <v>21.215726054478704</v>
      </c>
      <c r="F16" s="96" t="str">
        <f>Schmitz!G16</f>
        <v>NACA 4412</v>
      </c>
      <c r="G16" s="321">
        <f>Schmitz!H16</f>
        <v>4</v>
      </c>
      <c r="H16" s="58">
        <f>Schmitz!I16</f>
        <v>0.9</v>
      </c>
      <c r="I16" s="58"/>
      <c r="J16" s="58"/>
      <c r="K16" s="146"/>
      <c r="L16" s="337">
        <f t="shared" si="3"/>
        <v>17.215726054478704</v>
      </c>
      <c r="M16" s="344">
        <f t="shared" si="4"/>
        <v>536.11918919033519</v>
      </c>
      <c r="N16" s="165">
        <f>SIN(RADIANS(L16))*M16</f>
        <v>158.67532269112354</v>
      </c>
      <c r="O16" s="165">
        <f t="shared" si="5"/>
        <v>512.09952839948039</v>
      </c>
      <c r="P16" s="107">
        <f t="shared" si="6"/>
        <v>12.895603041843545</v>
      </c>
      <c r="Q16" s="57">
        <f t="shared" si="7"/>
        <v>460.90534979423876</v>
      </c>
      <c r="R16" s="141">
        <f>(B$10-B16)/AVERAGE(M$10:M16)</f>
        <v>3.5252423647919242</v>
      </c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</row>
    <row r="17" spans="1:162" s="12" customFormat="1" x14ac:dyDescent="0.2">
      <c r="A17" s="306">
        <v>0.3</v>
      </c>
      <c r="B17" s="353">
        <f t="shared" si="0"/>
        <v>614.98820041351223</v>
      </c>
      <c r="C17" s="55">
        <f t="shared" si="8"/>
        <v>0.51758698129453895</v>
      </c>
      <c r="D17" s="39">
        <f t="shared" si="1"/>
        <v>0.477617999894351</v>
      </c>
      <c r="E17" s="39">
        <f t="shared" si="2"/>
        <v>27.365495613426113</v>
      </c>
      <c r="F17" s="92" t="str">
        <f>Schmitz!G17</f>
        <v>NACA 4414</v>
      </c>
      <c r="G17" s="252">
        <f>Schmitz!H17</f>
        <v>4</v>
      </c>
      <c r="H17" s="147">
        <f>Schmitz!I17</f>
        <v>0.9</v>
      </c>
      <c r="I17" s="147"/>
      <c r="J17" s="147"/>
      <c r="K17" s="155"/>
      <c r="L17" s="338">
        <f t="shared" si="3"/>
        <v>23.365495613426113</v>
      </c>
      <c r="M17" s="343">
        <f t="shared" si="4"/>
        <v>680.98525257813424</v>
      </c>
      <c r="N17" s="201">
        <f>SIN(RADIANS(L17))*M17</f>
        <v>270.07543675683058</v>
      </c>
      <c r="O17" s="201">
        <f t="shared" si="5"/>
        <v>625.14012244417052</v>
      </c>
      <c r="P17" s="106">
        <f t="shared" si="6"/>
        <v>10.152320069692459</v>
      </c>
      <c r="Q17" s="54">
        <f t="shared" si="7"/>
        <v>460.9053497942387</v>
      </c>
      <c r="R17" s="138">
        <f>(B$10-B17)/AVERAGE(M$10:M17)</f>
        <v>3.6755011675603062</v>
      </c>
    </row>
    <row r="18" spans="1:162" s="12" customFormat="1" x14ac:dyDescent="0.2">
      <c r="A18" s="306">
        <v>0.25</v>
      </c>
      <c r="B18" s="353">
        <f t="shared" si="0"/>
        <v>512.49016701126016</v>
      </c>
      <c r="C18" s="55">
        <f t="shared" si="8"/>
        <v>0.62110437755344672</v>
      </c>
      <c r="D18" s="39">
        <f t="shared" si="1"/>
        <v>0.55579306291538144</v>
      </c>
      <c r="E18" s="39">
        <f t="shared" si="2"/>
        <v>31.844596787700386</v>
      </c>
      <c r="F18" s="92" t="str">
        <f>Schmitz!G18</f>
        <v>NACA 4416</v>
      </c>
      <c r="G18" s="252">
        <f>Schmitz!H18</f>
        <v>4</v>
      </c>
      <c r="H18" s="147">
        <f>Schmitz!I18</f>
        <v>0.9</v>
      </c>
      <c r="I18" s="147"/>
      <c r="J18" s="147"/>
      <c r="K18" s="155"/>
      <c r="L18" s="338">
        <f t="shared" ref="L18" si="9">E18-G18</f>
        <v>27.844596787700386</v>
      </c>
      <c r="M18" s="343">
        <f t="shared" ref="M18" si="10">2*PI()*E$4/B$5*8/9/H18/B$3/SQRT(B$3^2*A18^2+4/9)*1000</f>
        <v>781.65505028655571</v>
      </c>
      <c r="N18" s="201">
        <f>SIN(RADIANS(L18))*M18</f>
        <v>365.09154991072847</v>
      </c>
      <c r="O18" s="201">
        <f t="shared" ref="O18" si="11">COS(RADIANS(L18))*M18</f>
        <v>691.15322311500506</v>
      </c>
      <c r="P18" s="106">
        <f t="shared" si="6"/>
        <v>8.8447970039713226</v>
      </c>
      <c r="Q18" s="54">
        <f t="shared" si="7"/>
        <v>460.90534979423876</v>
      </c>
      <c r="R18" s="138">
        <f>(B$10-B18)/AVERAGE(M$10:M18)</f>
        <v>3.5434852666816519</v>
      </c>
    </row>
    <row r="19" spans="1:162" s="12" customFormat="1" ht="10.5" customHeight="1" x14ac:dyDescent="0.2">
      <c r="A19" s="329">
        <v>0.2</v>
      </c>
      <c r="B19" s="355">
        <f t="shared" si="0"/>
        <v>409.99213360900814</v>
      </c>
      <c r="C19" s="304">
        <f t="shared" si="8"/>
        <v>0.77638047194180837</v>
      </c>
      <c r="D19" s="303">
        <f t="shared" si="1"/>
        <v>0.66017195009916696</v>
      </c>
      <c r="E19" s="303">
        <f t="shared" si="2"/>
        <v>37.825066493603458</v>
      </c>
      <c r="F19" s="325">
        <f>Schmitz!G19</f>
        <v>0</v>
      </c>
      <c r="G19" s="326">
        <f>Schmitz!H19</f>
        <v>4</v>
      </c>
      <c r="H19" s="303">
        <f>Schmitz!I19</f>
        <v>0.9</v>
      </c>
      <c r="I19" s="303"/>
      <c r="J19" s="303"/>
      <c r="K19" s="304"/>
      <c r="L19" s="330">
        <f t="shared" si="3"/>
        <v>33.825066493603458</v>
      </c>
      <c r="M19" s="324"/>
      <c r="N19" s="324">
        <f>SIN(RADIANS(L19))*M19</f>
        <v>0</v>
      </c>
      <c r="O19" s="324">
        <f t="shared" si="5"/>
        <v>0</v>
      </c>
      <c r="P19" s="327">
        <f t="shared" si="6"/>
        <v>7.6096963005454068</v>
      </c>
      <c r="Q19" s="324">
        <f>P19*M19/1000/0.000015/1000</f>
        <v>0</v>
      </c>
      <c r="R19" s="328">
        <f>(B$10-B19)/AVERAGE(M$10:M19)</f>
        <v>3.7797176177937617</v>
      </c>
    </row>
    <row r="20" spans="1:162" s="12" customFormat="1" ht="10.8" thickBot="1" x14ac:dyDescent="0.25">
      <c r="A20" s="293">
        <v>0.1</v>
      </c>
      <c r="B20" s="300">
        <f t="shared" si="0"/>
        <v>204.99606680450407</v>
      </c>
      <c r="C20" s="298">
        <f t="shared" si="8"/>
        <v>1.5527609438836167</v>
      </c>
      <c r="D20" s="302">
        <f t="shared" si="1"/>
        <v>0.99864061008996097</v>
      </c>
      <c r="E20" s="302">
        <f t="shared" si="2"/>
        <v>57.217892208524418</v>
      </c>
      <c r="F20" s="297">
        <f>Schmitz!G20</f>
        <v>0</v>
      </c>
      <c r="G20" s="322">
        <f>Schmitz!H20</f>
        <v>4</v>
      </c>
      <c r="H20" s="302">
        <f>Schmitz!I20</f>
        <v>0.9</v>
      </c>
      <c r="I20" s="302"/>
      <c r="J20" s="302"/>
      <c r="K20" s="298"/>
      <c r="L20" s="296">
        <f t="shared" si="3"/>
        <v>53.217892208524418</v>
      </c>
      <c r="M20" s="294">
        <v>50</v>
      </c>
      <c r="N20" s="294">
        <f>SIN(RADIANS(L20))*M20</f>
        <v>40.045919688194765</v>
      </c>
      <c r="O20" s="294">
        <f t="shared" si="5"/>
        <v>29.938675928080972</v>
      </c>
      <c r="P20" s="299">
        <f t="shared" si="6"/>
        <v>5.5506939007629432</v>
      </c>
      <c r="Q20" s="294">
        <f>P20*M20/1000/0.000015/1000</f>
        <v>18.502313002543143</v>
      </c>
      <c r="R20" s="301">
        <f>(B$10-B20)/AVERAGE(M$10:M20)</f>
        <v>4.6649166497905528</v>
      </c>
    </row>
    <row r="21" spans="1:162" s="14" customFormat="1" x14ac:dyDescent="0.2">
      <c r="B21" s="15"/>
      <c r="C21" s="24"/>
      <c r="D21" s="25"/>
      <c r="E21" s="25"/>
      <c r="F21" s="25"/>
      <c r="G21" s="26"/>
      <c r="H21" s="26"/>
      <c r="I21" s="26"/>
      <c r="J21" s="26"/>
      <c r="K21" s="26"/>
      <c r="L21" s="16"/>
      <c r="M21" s="19"/>
      <c r="N21" s="19"/>
      <c r="O21" s="19"/>
      <c r="P21" s="19"/>
      <c r="Q21" s="19"/>
      <c r="R21" s="19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</row>
    <row r="22" spans="1:162" s="14" customFormat="1" x14ac:dyDescent="0.2">
      <c r="B22" s="15"/>
      <c r="C22" s="24"/>
      <c r="D22" s="25"/>
      <c r="E22" s="25"/>
      <c r="F22" s="25"/>
      <c r="G22" s="26"/>
      <c r="H22" s="26"/>
      <c r="I22" s="26"/>
      <c r="J22" s="26"/>
      <c r="K22" s="26"/>
      <c r="L22" s="16"/>
      <c r="M22" s="19"/>
      <c r="N22" s="19"/>
      <c r="O22" s="19"/>
      <c r="P22" s="19"/>
      <c r="Q22" s="19"/>
      <c r="R22" s="19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</row>
    <row r="23" spans="1:162" s="14" customFormat="1" x14ac:dyDescent="0.2">
      <c r="B23" s="15"/>
      <c r="C23" s="24"/>
      <c r="D23" s="25"/>
      <c r="E23" s="25"/>
      <c r="F23" s="25"/>
      <c r="G23" s="26"/>
      <c r="H23" s="26"/>
      <c r="I23" s="26"/>
      <c r="J23" s="26"/>
      <c r="K23" s="26"/>
      <c r="L23" s="16"/>
      <c r="M23" s="19"/>
      <c r="N23" s="19"/>
      <c r="O23" s="19"/>
      <c r="P23" s="19"/>
      <c r="Q23" s="19"/>
      <c r="R23" s="19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</row>
    <row r="24" spans="1:162" x14ac:dyDescent="0.2"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162" x14ac:dyDescent="0.2"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</row>
    <row r="28" spans="1:162" x14ac:dyDescent="0.2">
      <c r="P28" s="27"/>
      <c r="Q28" s="27"/>
    </row>
    <row r="41" spans="9:11" ht="15" x14ac:dyDescent="0.25">
      <c r="I41" s="356" t="s">
        <v>133</v>
      </c>
      <c r="K41" s="99" t="s">
        <v>75</v>
      </c>
    </row>
    <row r="51" spans="17:17" x14ac:dyDescent="0.2">
      <c r="Q51" s="239" t="s">
        <v>85</v>
      </c>
    </row>
  </sheetData>
  <mergeCells count="5">
    <mergeCell ref="F2:H2"/>
    <mergeCell ref="F3:H3"/>
    <mergeCell ref="C7:E7"/>
    <mergeCell ref="N4:N7"/>
    <mergeCell ref="O4:O7"/>
  </mergeCells>
  <phoneticPr fontId="2" type="noConversion"/>
  <printOptions gridLines="1"/>
  <pageMargins left="0.78740157499999996" right="0.78740157499999996" top="0.984251969" bottom="0.984251969" header="0.4921259845" footer="0.4921259845"/>
  <pageSetup paperSize="9" orientation="landscape" horizontalDpi="4294967293" r:id="rId1"/>
  <headerFooter alignWithMargins="0">
    <oddHeader>&amp;C&amp;"Arial,Fett"&amp;A</oddHeader>
    <oddFooter>&amp;L&amp;F&amp;C&amp;P/&amp;N&amp;R&amp;D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Ø-Bestimmung</vt:lpstr>
      <vt:lpstr>Schmitz</vt:lpstr>
      <vt:lpstr>Betz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Georgi, Dornreichenbach</dc:creator>
  <dc:description>Rotorberechnung nach Schmitz bzw. Betz</dc:description>
  <cp:lastModifiedBy>A. G.</cp:lastModifiedBy>
  <cp:lastPrinted>2013-02-11T14:58:51Z</cp:lastPrinted>
  <dcterms:created xsi:type="dcterms:W3CDTF">2011-12-13T16:36:05Z</dcterms:created>
  <dcterms:modified xsi:type="dcterms:W3CDTF">2026-10-30T14:53:13Z</dcterms:modified>
</cp:coreProperties>
</file>