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43" activeTab="1"/>
  </bookViews>
  <sheets>
    <sheet name="Sheet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<sst xmlns="http://schemas.openxmlformats.org/spreadsheetml/2006/main" count="211" uniqueCount="142">
  <si>
    <t>Scheibengenerator Berechnung V1.7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</si>
  <si>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</si>
  <si>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</si>
  <si>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</si>
  <si>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</si>
  <si>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</si>
  <si>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</si>
  <si>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</si>
  <si>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</si>
  <si>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</si>
  <si>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</si>
  <si>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</si>
  <si>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</si>
  <si>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</si>
  <si>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</si>
  <si>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</si>
  <si>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</si>
  <si>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</si>
  <si>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</si>
  <si>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</si>
  <si>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</si>
  <si>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</si>
  <si>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</si>
  <si>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</si>
  <si>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</si>
  <si>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</si>
  <si>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</si>
  <si>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</si>
  <si>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</si>
  <si>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</si>
  <si>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</si>
  <si>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</si>
  <si>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</si>
  <si>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</si>
  <si>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</si>
  <si>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</si>
  <si>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</si>
  <si>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</si>
  <si>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</si>
  <si>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</si>
  <si>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</si>
  <si>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</si>
  <si>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</si>
  <si>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</si>
  <si>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</si>
  <si>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</si>
  <si>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</si>
  <si>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</si>
  <si>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</si>
  <si>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</si>
  <si>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</si>
  <si>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</si>
  <si>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</si>
  <si>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</si>
  <si>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</si>
  <si>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</si>
  <si>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</si>
  <si>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</si>
  <si>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</si>
  <si>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</si>
  <si>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</si>
  <si>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</si>
  <si>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</si>
  <si>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</si>
  <si>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</si>
  <si>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</si>
  <si>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</si>
  <si>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</si>
  <si>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</si>
  <si>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</si>
  <si>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</si>
  <si>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</si>
  <si>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</si>
  <si>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</si>
  <si>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</si>
  <si>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</si>
  <si>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</si>
  <si>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</si>
  <si>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</si>
  <si>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</si>
  <si>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</si>
  <si>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Ohm</t>
  </si>
  <si>
    <t>Abstand zwischen Stator und Magneten</t>
  </si>
  <si>
    <t>5. Abstand (mm)</t>
  </si>
  <si>
    <t>U/min</t>
  </si>
  <si>
    <t>Dicke(Höhe)</t>
  </si>
  <si>
    <t>V</t>
  </si>
  <si>
    <t>wenn rot, dann zu dick !</t>
  </si>
  <si>
    <t>Strom</t>
  </si>
  <si>
    <t>A</t>
  </si>
  <si>
    <t>Leistung Rotor</t>
  </si>
  <si>
    <t>Dicke(Höhe) max.</t>
  </si>
  <si>
    <t>6. Drahtlänge:</t>
  </si>
  <si>
    <t>%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</si>
  <si>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</si>
  <si>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</si>
  <si>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</si>
  <si>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</si>
  <si>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</si>
  <si>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</si>
  <si>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</si>
  <si>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</si>
  <si>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8. Leistung / Wirkungsgrad:</t>
  </si>
  <si>
    <t>(gilt nur für den Fall von Batterieladung)</t>
  </si>
  <si>
    <t>Luftdichte</t>
  </si>
  <si>
    <t>Kg/m' 3</t>
  </si>
  <si>
    <t>Watt</t>
  </si>
  <si>
    <t>Rotorwirkungsgrad</t>
  </si>
  <si>
    <t>Ladestrom vor Gleichrichter</t>
  </si>
  <si>
    <t>Spannungsabfall Gleichrichter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</si>
  <si>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</si>
  <si>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</si>
  <si>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</si>
  <si>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</si>
  <si>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</si>
  <si>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</si>
  <si>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</si>
  <si>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</si>
  <si>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</si>
  <si>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Wirbelstromverluste</t>
  </si>
  <si>
    <t>Leistung</t>
  </si>
  <si>
    <t>Leistung inkl. Wirbelströme</t>
  </si>
  <si>
    <t>Drehzahl bei Windgeschwindigkeit</t>
  </si>
  <si>
    <t>[m/s]</t>
  </si>
  <si>
    <t>[W]</t>
  </si>
  <si>
    <t>Wingeschw.</t>
  </si>
  <si>
    <t>Verlust Wirbels.</t>
  </si>
  <si>
    <t>[V]</t>
  </si>
  <si>
    <t>[A]</t>
  </si>
  <si>
    <t>Berechnungen bei Sternschaltung</t>
  </si>
  <si>
    <t>Batteriespannung</t>
  </si>
  <si>
    <t>Pv Geni</t>
  </si>
  <si>
    <t>Hilfen</t>
  </si>
  <si>
    <t>Pmech</t>
  </si>
  <si>
    <t>Ri</t>
  </si>
  <si>
    <t>Pv Gleichrichter</t>
  </si>
  <si>
    <t>Gleichrichter</t>
  </si>
  <si>
    <t>Plade</t>
  </si>
  <si>
    <t>Pv Gesamt</t>
  </si>
  <si>
    <t>p% Geni</t>
  </si>
  <si>
    <t>[%]</t>
  </si>
  <si>
    <t>p% 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</si>
</sst>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3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2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2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Border="1" applyAlignment="1">
      <alignment horizontal="left"/>
    </xf>
    <xf numFmtId="0" fontId="2" fillId="40" borderId="24" xfId="0" applyFont="1" applyFill="1" applyBorder="1" applyAlignment="1">
      <alignment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0" borderId="0" xfId="0" applyNumberFormat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1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2" fillId="35" borderId="16" xfId="0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2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5" fontId="0" fillId="36" borderId="20" xfId="0" applyNumberFormat="1" applyFont="1" applyFill="1" applyBorder="1" applyAlignment="1">
      <alignment horizontal="right"/>
    </xf>
    <xf numFmtId="2" fontId="2" fillId="34" borderId="22" xfId="0" applyNumberFormat="1" applyFont="1" applyFill="1" applyBorder="1" applyAlignment="1">
      <alignment horizontal="left"/>
    </xf>
    <xf numFmtId="165" fontId="0" fillId="36" borderId="22" xfId="0" applyNumberFormat="1" applyFont="1" applyFill="1" applyBorder="1" applyAlignment="1">
      <alignment horizontal="right"/>
    </xf>
    <xf numFmtId="2" fontId="2" fillId="34" borderId="43" xfId="0" applyNumberFormat="1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165" fontId="2" fillId="36" borderId="22" xfId="0" applyNumberFormat="1" applyFont="1" applyFill="1" applyBorder="1" applyAlignment="1">
      <alignment horizontal="right"/>
    </xf>
    <xf numFmtId="2" fontId="2" fillId="34" borderId="24" xfId="0" applyNumberFormat="1" applyFont="1" applyFill="1" applyBorder="1" applyAlignment="1">
      <alignment horizontal="left"/>
    </xf>
    <xf numFmtId="165" fontId="8" fillId="36" borderId="2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0" borderId="46" xfId="0" applyBorder="1" applyAlignment="1">
      <alignment/>
    </xf>
    <xf numFmtId="165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5" fontId="0" fillId="37" borderId="26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9" fillId="37" borderId="16" xfId="0" applyFont="1" applyFill="1" applyBorder="1" applyAlignment="1">
      <alignment/>
    </xf>
    <xf numFmtId="164" fontId="0" fillId="36" borderId="20" xfId="0" applyNumberFormat="1" applyFill="1" applyBorder="1" applyAlignment="1">
      <alignment/>
    </xf>
    <xf numFmtId="165" fontId="2" fillId="36" borderId="24" xfId="0" applyNumberFormat="1" applyFont="1" applyFill="1" applyBorder="1" applyAlignment="1">
      <alignment horizontal="right"/>
    </xf>
    <xf numFmtId="0" fontId="0" fillId="37" borderId="23" xfId="0" applyNumberFormat="1" applyFont="1" applyFill="1" applyBorder="1" applyAlignment="1">
      <alignment/>
    </xf>
    <xf numFmtId="165" fontId="2" fillId="34" borderId="21" xfId="0" applyNumberFormat="1" applyFont="1" applyFill="1" applyBorder="1" applyAlignment="1">
      <alignment horizontal="left"/>
    </xf>
    <xf numFmtId="0" fontId="4" fillId="33" borderId="47" xfId="0" applyFont="1" applyFill="1" applyBorder="1" applyAlignment="1">
      <alignment/>
    </xf>
    <xf numFmtId="0" fontId="2" fillId="35" borderId="48" xfId="0" applyFont="1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2" fillId="36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0" fillId="0" borderId="50" xfId="0" applyBorder="1" applyAlignment="1">
      <alignment/>
    </xf>
    <xf numFmtId="2" fontId="0" fillId="0" borderId="5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Leistung</a:t>
            </a:r>
          </a:p>
        </c:rich>
      </c:tx>
      <c:layout>
        <c:manualLayout>
          <c:xMode val="factor"/>
          <c:yMode val="factor"/>
          <c:x val="-0.016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6125"/>
          <c:w val="0.781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v>Leistung Rotor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Tabelle1!$A$7:$A$29</c:f>
              <c:numCache/>
            </c:numRef>
          </c:xVal>
          <c:yVal>
            <c:numRef>
              <c:f>Tabelle1!$B$7:$B$29</c:f>
              <c:numCache/>
            </c:numRef>
          </c:yVal>
          <c:smooth val="1"/>
        </c:ser>
        <c:ser>
          <c:idx val="1"/>
          <c:order val="1"/>
          <c:tx>
            <c:v>Ladeleistung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Tabelle1!$A$7:$A$29</c:f>
              <c:numCache/>
            </c:numRef>
          </c:xVal>
          <c:yVal>
            <c:numRef>
              <c:f>Tabelle1!$J$7:$J$29</c:f>
              <c:numCache/>
            </c:numRef>
          </c:yVal>
          <c:smooth val="1"/>
        </c:ser>
        <c:axId val="52239960"/>
        <c:axId val="397593"/>
      </c:scatterChart>
      <c:val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Windgeschwindigkeit [m/s]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93"/>
        <c:crosses val="autoZero"/>
        <c:crossBetween val="midCat"/>
        <c:dispUnits/>
      </c:val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Leistung [W]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99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25"/>
          <c:y val="0.45525"/>
          <c:w val="0.1022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</xdr:row>
      <xdr:rowOff>133350</xdr:rowOff>
    </xdr:from>
    <xdr:to>
      <xdr:col>13</xdr:col>
      <xdr:colOff>1266825</xdr:colOff>
      <xdr:row>26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523875"/>
          <a:ext cx="4686300" cy="3771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95250</xdr:rowOff>
    </xdr:from>
    <xdr:to>
      <xdr:col>11</xdr:col>
      <xdr:colOff>866775</xdr:colOff>
      <xdr:row>64</xdr:row>
      <xdr:rowOff>114300</xdr:rowOff>
    </xdr:to>
    <xdr:graphicFrame>
      <xdr:nvGraphicFramePr>
        <xdr:cNvPr id="1" name="Diagramm 2"/>
        <xdr:cNvGraphicFramePr/>
      </xdr:nvGraphicFramePr>
      <xdr:xfrm>
        <a:off x="0" y="5172075"/>
        <a:ext cx="111633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76">
      <selection activeCell="B103" sqref="B103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7.7109375" style="0" customWidth="1"/>
    <col min="7" max="7" width="15.7109375" style="0" customWidth="1"/>
    <col min="8" max="9" width="9.140625" style="0" customWidth="1"/>
    <col min="10" max="10" width="22.7109375" style="0" customWidth="1"/>
    <col min="11" max="11" width="11.140625" style="0" bestFit="1" customWidth="1"/>
    <col min="12" max="13" width="9.140625" style="0" customWidth="1"/>
    <col min="14" max="14" width="28.8515625" style="0" customWidth="1"/>
  </cols>
  <sheetData>
    <row r="1" s="1" customFormat="1" ht="18">
      <c r="B1" s="2" t="s">
        <v>0</v>
      </c>
    </row>
    <row r="2" ht="12.75">
      <c r="G2" s="3"/>
    </row>
    <row r="3" spans="2:7" ht="12.75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5</v>
      </c>
      <c r="C5" s="12" t="s">
        <v>6</v>
      </c>
      <c r="D5" s="15">
        <v>4.5</v>
      </c>
      <c r="E5" s="16" t="s">
        <v>7</v>
      </c>
      <c r="F5" s="17">
        <f>D5*D6*60/(D7*PI())</f>
        <v>131.30282805081364</v>
      </c>
      <c r="G5" s="13" t="s">
        <v>8</v>
      </c>
    </row>
    <row r="6" spans="2:7" ht="12.75">
      <c r="B6" s="14" t="s">
        <v>9</v>
      </c>
      <c r="C6" s="12" t="s">
        <v>10</v>
      </c>
      <c r="D6" s="18">
        <v>3.3</v>
      </c>
      <c r="E6" s="12"/>
      <c r="F6" s="12"/>
      <c r="G6" s="13"/>
    </row>
    <row r="7" spans="2:7" ht="12.75">
      <c r="B7" s="14" t="s">
        <v>11</v>
      </c>
      <c r="C7" s="19" t="s">
        <v>12</v>
      </c>
      <c r="D7" s="20">
        <v>2.16</v>
      </c>
      <c r="E7" s="16" t="s">
        <v>13</v>
      </c>
      <c r="F7" s="21">
        <f>F5/60</f>
        <v>2.1883804675135607</v>
      </c>
      <c r="G7" s="13" t="s">
        <v>14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15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16</v>
      </c>
      <c r="C11" s="34" t="s">
        <v>17</v>
      </c>
      <c r="D11" s="35">
        <v>9</v>
      </c>
      <c r="E11" s="36" t="s">
        <v>18</v>
      </c>
      <c r="F11" s="106">
        <f>(D14+(D16*2)+D17+D15+(D16*2))*D11/2/1000</f>
        <v>0.4995</v>
      </c>
      <c r="G11" s="32" t="s">
        <v>19</v>
      </c>
      <c r="J11" s="28"/>
    </row>
    <row r="12" spans="2:10" ht="12.75">
      <c r="B12" s="37" t="s">
        <v>20</v>
      </c>
      <c r="C12" s="38"/>
      <c r="D12" s="31"/>
      <c r="E12" s="36" t="s">
        <v>21</v>
      </c>
      <c r="F12" s="39">
        <f>F11/(2*PI())*1000</f>
        <v>79.49789407440171</v>
      </c>
      <c r="G12" s="32" t="s">
        <v>22</v>
      </c>
      <c r="J12" s="28"/>
    </row>
    <row r="13" spans="2:10" ht="12.75">
      <c r="B13" s="29" t="s">
        <v>23</v>
      </c>
      <c r="C13" s="40" t="s">
        <v>24</v>
      </c>
      <c r="D13" s="15">
        <v>46</v>
      </c>
      <c r="E13" s="31"/>
      <c r="F13" s="31"/>
      <c r="G13" s="32"/>
      <c r="J13" s="28"/>
    </row>
    <row r="14" spans="2:10" ht="12.75">
      <c r="B14" s="29" t="s">
        <v>25</v>
      </c>
      <c r="C14" s="29" t="s">
        <v>26</v>
      </c>
      <c r="D14" s="18">
        <v>30</v>
      </c>
      <c r="E14" s="36" t="s">
        <v>27</v>
      </c>
      <c r="F14" s="21">
        <f>(F5/60)*F11</f>
        <v>1.0930960435230237</v>
      </c>
      <c r="G14" s="32" t="s">
        <v>28</v>
      </c>
      <c r="J14" s="28"/>
    </row>
    <row r="15" spans="2:7" ht="12.75">
      <c r="B15" s="29" t="s">
        <v>29</v>
      </c>
      <c r="C15" s="29" t="s">
        <v>30</v>
      </c>
      <c r="D15" s="18">
        <v>22</v>
      </c>
      <c r="E15" s="31"/>
      <c r="F15" s="31"/>
      <c r="G15" s="32"/>
    </row>
    <row r="16" spans="2:11" ht="12.75">
      <c r="B16" s="29" t="s">
        <v>31</v>
      </c>
      <c r="C16" s="29" t="s">
        <v>32</v>
      </c>
      <c r="D16" s="41">
        <v>14</v>
      </c>
      <c r="E16" s="31"/>
      <c r="F16" s="31"/>
      <c r="G16" s="32"/>
      <c r="K16" s="3"/>
    </row>
    <row r="17" spans="2:11" ht="12.75">
      <c r="B17" s="29" t="s">
        <v>33</v>
      </c>
      <c r="C17" s="29" t="s">
        <v>34</v>
      </c>
      <c r="D17" s="18">
        <v>3</v>
      </c>
      <c r="E17" s="31"/>
      <c r="F17" s="42"/>
      <c r="G17" s="32"/>
      <c r="K17" s="3"/>
    </row>
    <row r="18" spans="2:11" ht="12.75">
      <c r="B18" s="38" t="s">
        <v>35</v>
      </c>
      <c r="C18" s="43" t="s">
        <v>36</v>
      </c>
      <c r="D18" s="20">
        <v>20</v>
      </c>
      <c r="E18" s="36" t="s">
        <v>37</v>
      </c>
      <c r="F18" s="44">
        <f>(D11*(D15+(D16*2)+(D17*2))/PI())/10/1.25+(0.2*D18)+(2*D13/10)+(4*D16/10)</f>
        <v>31.63425461093044</v>
      </c>
      <c r="G18" s="45" t="s">
        <v>38</v>
      </c>
      <c r="H18" s="46"/>
      <c r="I18" s="46"/>
      <c r="K18" s="3"/>
    </row>
    <row r="19" spans="2:11" ht="12.75">
      <c r="B19" s="38"/>
      <c r="C19" s="38"/>
      <c r="D19" s="38"/>
      <c r="E19" s="47" t="s">
        <v>39</v>
      </c>
      <c r="F19" s="39">
        <f>(D11*(D15+(D16*2)+(D17*2))/PI())/10/1.25-(2*D16/10)+(2*D13/10)+(4*D16/10)+2</f>
        <v>26.834254610930437</v>
      </c>
      <c r="G19" s="45" t="s">
        <v>38</v>
      </c>
      <c r="K19" s="3"/>
    </row>
    <row r="20" spans="2:7" ht="12.75">
      <c r="B20" s="48"/>
      <c r="C20" s="48"/>
      <c r="D20" s="48"/>
      <c r="E20" s="49" t="s">
        <v>40</v>
      </c>
      <c r="F20" s="48"/>
      <c r="G20" s="50"/>
    </row>
    <row r="21" spans="2:11" ht="12.75">
      <c r="B21" s="25" t="s">
        <v>41</v>
      </c>
      <c r="C21" s="12"/>
      <c r="D21" s="12"/>
      <c r="E21" s="12"/>
      <c r="F21" s="12"/>
      <c r="G21" s="13"/>
      <c r="H21" s="51" t="s">
        <v>42</v>
      </c>
      <c r="I21" s="52">
        <v>1.43</v>
      </c>
      <c r="K21" s="3"/>
    </row>
    <row r="22" spans="2:11" ht="12.75">
      <c r="B22" s="10"/>
      <c r="C22" s="11"/>
      <c r="D22" s="53"/>
      <c r="E22" s="12"/>
      <c r="F22" s="12"/>
      <c r="G22" s="13"/>
      <c r="H22" s="54" t="s">
        <v>43</v>
      </c>
      <c r="I22" s="55">
        <v>1.4</v>
      </c>
      <c r="K22" s="3"/>
    </row>
    <row r="23" spans="2:11" ht="12.75">
      <c r="B23" s="14" t="s">
        <v>44</v>
      </c>
      <c r="C23" s="11" t="s">
        <v>45</v>
      </c>
      <c r="D23" s="35">
        <v>10</v>
      </c>
      <c r="F23" s="53"/>
      <c r="G23" s="13"/>
      <c r="H23" s="54" t="s">
        <v>46</v>
      </c>
      <c r="I23" s="55">
        <v>1.38</v>
      </c>
      <c r="K23" s="3"/>
    </row>
    <row r="24" spans="2:11" ht="12.75">
      <c r="B24" s="14" t="s">
        <v>47</v>
      </c>
      <c r="C24" s="56" t="s">
        <v>48</v>
      </c>
      <c r="D24" s="41">
        <v>20</v>
      </c>
      <c r="E24" s="57" t="s">
        <v>49</v>
      </c>
      <c r="F24" s="53"/>
      <c r="G24" s="13"/>
      <c r="H24" s="54" t="s">
        <v>50</v>
      </c>
      <c r="I24" s="55">
        <v>1.32</v>
      </c>
      <c r="K24" s="3"/>
    </row>
    <row r="25" spans="2:11" ht="12.75">
      <c r="B25" s="14" t="s">
        <v>51</v>
      </c>
      <c r="C25" s="10" t="s">
        <v>52</v>
      </c>
      <c r="D25" s="58">
        <v>1.26</v>
      </c>
      <c r="E25" s="59" t="s">
        <v>53</v>
      </c>
      <c r="F25" s="60">
        <f>D25-((D25*(D24/(2*D23)))*0.5)</f>
        <v>0.63</v>
      </c>
      <c r="G25" s="13" t="s">
        <v>54</v>
      </c>
      <c r="H25" s="54" t="s">
        <v>55</v>
      </c>
      <c r="I25" s="55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56</v>
      </c>
      <c r="I26" s="63">
        <v>1.25</v>
      </c>
      <c r="K26" s="3"/>
    </row>
    <row r="27" spans="2:11" ht="12.75">
      <c r="B27" s="25" t="s">
        <v>57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58</v>
      </c>
      <c r="C29" s="31" t="s">
        <v>59</v>
      </c>
      <c r="D29" s="15">
        <v>24</v>
      </c>
      <c r="E29" s="31"/>
      <c r="F29" s="31"/>
      <c r="G29" s="32"/>
    </row>
    <row r="30" spans="2:7" ht="12.75">
      <c r="B30" s="33" t="s">
        <v>60</v>
      </c>
      <c r="C30" s="31" t="s">
        <v>26</v>
      </c>
      <c r="D30" s="18">
        <v>30</v>
      </c>
      <c r="E30" s="31"/>
      <c r="F30" s="31"/>
      <c r="G30" s="32"/>
    </row>
    <row r="31" spans="2:11" ht="12.75">
      <c r="B31" s="33" t="s">
        <v>61</v>
      </c>
      <c r="C31" s="31" t="s">
        <v>62</v>
      </c>
      <c r="D31" s="18">
        <v>46</v>
      </c>
      <c r="E31" s="31"/>
      <c r="F31" s="31"/>
      <c r="G31" s="32"/>
      <c r="K31" s="65"/>
    </row>
    <row r="32" spans="2:11" ht="12.75">
      <c r="B32" s="33" t="s">
        <v>63</v>
      </c>
      <c r="C32" s="31" t="s">
        <v>64</v>
      </c>
      <c r="D32" s="18">
        <v>12</v>
      </c>
      <c r="E32" s="31"/>
      <c r="F32" s="31"/>
      <c r="G32" s="32"/>
      <c r="K32" s="65"/>
    </row>
    <row r="33" spans="2:11" ht="12.75">
      <c r="B33" s="33" t="s">
        <v>65</v>
      </c>
      <c r="C33" s="66" t="s">
        <v>66</v>
      </c>
      <c r="D33" s="20">
        <v>3</v>
      </c>
      <c r="E33" s="31"/>
      <c r="F33" s="31"/>
      <c r="G33" s="32"/>
      <c r="K33" s="65"/>
    </row>
    <row r="34" spans="2:11" ht="12.75">
      <c r="B34" s="29"/>
      <c r="C34" s="31"/>
      <c r="D34" s="31"/>
      <c r="E34" s="30"/>
      <c r="F34" s="67"/>
      <c r="G34" s="32"/>
      <c r="K34" s="65"/>
    </row>
    <row r="35" spans="2:10" ht="13.5" thickBot="1">
      <c r="B35" s="68" t="s">
        <v>67</v>
      </c>
      <c r="C35" s="31"/>
      <c r="D35" s="32"/>
      <c r="E35" s="31" t="s">
        <v>68</v>
      </c>
      <c r="F35" s="69">
        <f>((((D29+1.4)/(SQRT(D33)*SQRT(2)))/((2*D32*F25*F7*D30/1000*D31/1000)*(D11/D33))))</f>
        <v>75.69777760608464</v>
      </c>
      <c r="G35" s="32" t="s">
        <v>69</v>
      </c>
      <c r="H35" s="70"/>
      <c r="J35" s="71"/>
    </row>
    <row r="36" spans="2:7" ht="13.5" thickBot="1">
      <c r="B36" s="29"/>
      <c r="C36" s="31"/>
      <c r="D36" s="32"/>
      <c r="E36" s="31"/>
      <c r="F36" s="72"/>
      <c r="G36" s="32"/>
    </row>
    <row r="37" spans="2:7" ht="13.5" thickBot="1">
      <c r="B37" s="68" t="s">
        <v>70</v>
      </c>
      <c r="C37" s="31"/>
      <c r="D37" s="32"/>
      <c r="E37" s="66" t="s">
        <v>68</v>
      </c>
      <c r="F37" s="69">
        <f>(((D29+1.4)/1.414)/(2*D32*F25*F7*D30/1000*D31/1000))/(D11/D33)</f>
        <v>131.1321992910796</v>
      </c>
      <c r="G37" s="32" t="s">
        <v>69</v>
      </c>
    </row>
    <row r="38" spans="2:7" ht="13.5" thickBot="1">
      <c r="B38" s="73"/>
      <c r="C38" s="48"/>
      <c r="D38" s="48"/>
      <c r="E38" s="48"/>
      <c r="F38" s="48"/>
      <c r="G38" s="50"/>
    </row>
    <row r="39" spans="2:7" ht="12.75">
      <c r="B39" s="25" t="s">
        <v>71</v>
      </c>
      <c r="C39" s="12"/>
      <c r="D39" s="12"/>
      <c r="E39" s="12"/>
      <c r="F39" s="12"/>
      <c r="G39" s="13"/>
    </row>
    <row r="40" spans="2:7" ht="13.5" thickBot="1">
      <c r="B40" s="10"/>
      <c r="C40" s="11"/>
      <c r="D40" s="12"/>
      <c r="E40" s="12"/>
      <c r="F40" s="12"/>
      <c r="G40" s="13"/>
    </row>
    <row r="41" spans="2:7" ht="12.75">
      <c r="B41" s="14" t="s">
        <v>72</v>
      </c>
      <c r="C41" s="12" t="s">
        <v>73</v>
      </c>
      <c r="D41" s="15">
        <v>1.4</v>
      </c>
      <c r="E41" s="12"/>
      <c r="F41" s="12"/>
      <c r="G41" s="13"/>
    </row>
    <row r="42" spans="2:7" ht="12.75">
      <c r="B42" s="14" t="s">
        <v>74</v>
      </c>
      <c r="C42" s="12" t="s">
        <v>75</v>
      </c>
      <c r="D42" s="18">
        <v>1.8</v>
      </c>
      <c r="E42" s="12"/>
      <c r="F42" s="12"/>
      <c r="G42" s="13"/>
    </row>
    <row r="43" spans="2:7" ht="12.75">
      <c r="B43" s="14" t="s">
        <v>76</v>
      </c>
      <c r="C43" s="10" t="s">
        <v>77</v>
      </c>
      <c r="D43" s="18">
        <v>1</v>
      </c>
      <c r="E43" s="12"/>
      <c r="F43" s="12"/>
      <c r="G43" s="13"/>
    </row>
    <row r="44" spans="2:7" ht="12.75">
      <c r="B44" s="14" t="s">
        <v>78</v>
      </c>
      <c r="C44" s="53" t="s">
        <v>79</v>
      </c>
      <c r="D44" s="18">
        <v>0.8</v>
      </c>
      <c r="E44" s="12" t="s">
        <v>80</v>
      </c>
      <c r="F44" s="12"/>
      <c r="G44" s="13"/>
    </row>
    <row r="45" spans="2:7" ht="13.5" thickBot="1">
      <c r="B45" s="14" t="s">
        <v>82</v>
      </c>
      <c r="C45" s="19" t="s">
        <v>83</v>
      </c>
      <c r="D45" s="20">
        <v>1.5</v>
      </c>
      <c r="E45" s="12" t="s">
        <v>80</v>
      </c>
      <c r="F45" s="12"/>
      <c r="G45" s="13"/>
    </row>
    <row r="46" spans="2:7" ht="13.5" thickBot="1">
      <c r="B46" s="10"/>
      <c r="C46" s="53"/>
      <c r="D46" s="53"/>
      <c r="E46" s="11"/>
      <c r="F46" s="53"/>
      <c r="G46" s="13"/>
    </row>
    <row r="47" spans="2:7" ht="13.5" thickBot="1">
      <c r="B47" s="68" t="s">
        <v>67</v>
      </c>
      <c r="C47" s="12"/>
      <c r="D47" s="12"/>
      <c r="E47" s="74" t="s">
        <v>85</v>
      </c>
      <c r="F47" s="75">
        <f>(PI()*((D41/2)*(D41/2))*F35*D43*D42)/D16</f>
        <v>14.982129667282013</v>
      </c>
      <c r="G47" s="13" t="s">
        <v>22</v>
      </c>
    </row>
    <row r="48" spans="2:7" ht="13.5" thickBot="1">
      <c r="B48" s="10"/>
      <c r="C48" s="12"/>
      <c r="D48" s="12"/>
      <c r="E48" s="74"/>
      <c r="F48" s="76" t="s">
        <v>87</v>
      </c>
      <c r="G48" s="13"/>
    </row>
    <row r="49" spans="2:7" ht="13.5" thickBot="1">
      <c r="B49" s="68" t="s">
        <v>70</v>
      </c>
      <c r="C49" s="12"/>
      <c r="D49" s="12"/>
      <c r="E49" s="111" t="s">
        <v>85</v>
      </c>
      <c r="F49" s="75">
        <f>(PI()*((D41/2)*(D41/2))*F37*D43*D42)/D16</f>
        <v>25.95372909834148</v>
      </c>
      <c r="G49" s="13" t="s">
        <v>22</v>
      </c>
    </row>
    <row r="50" spans="2:7" ht="13.5" thickBot="1">
      <c r="B50" s="10"/>
      <c r="C50" s="12"/>
      <c r="D50" s="12"/>
      <c r="E50" s="77" t="s">
        <v>91</v>
      </c>
      <c r="F50" s="117">
        <f>D24-D44-D44-D45-D45</f>
        <v>15.399999999999999</v>
      </c>
      <c r="G50" s="13" t="s">
        <v>22</v>
      </c>
    </row>
    <row r="51" spans="2:7" ht="12.75">
      <c r="B51" s="10"/>
      <c r="C51" s="12"/>
      <c r="D51" s="12"/>
      <c r="E51" s="12"/>
      <c r="F51" s="12"/>
      <c r="G51" s="13"/>
    </row>
    <row r="52" spans="2:7" ht="13.5" thickBot="1">
      <c r="B52" s="10"/>
      <c r="C52" s="12"/>
      <c r="D52" s="12"/>
      <c r="E52" s="12"/>
      <c r="F52" s="12"/>
      <c r="G52" s="13"/>
    </row>
    <row r="53" spans="2:7" ht="12.75">
      <c r="B53" s="110" t="s">
        <v>92</v>
      </c>
      <c r="C53" s="112"/>
      <c r="D53" s="112"/>
      <c r="E53" s="112"/>
      <c r="F53" s="112"/>
      <c r="G53" s="64"/>
    </row>
    <row r="54" spans="2:7" ht="13.5" thickBot="1">
      <c r="B54" s="29"/>
      <c r="C54" s="31"/>
      <c r="D54" s="31"/>
      <c r="E54" s="38"/>
      <c r="F54" s="31"/>
      <c r="G54" s="32"/>
    </row>
    <row r="55" spans="2:7" ht="12.75">
      <c r="B55" s="68" t="s">
        <v>67</v>
      </c>
      <c r="C55" s="31"/>
      <c r="D55" s="38"/>
      <c r="E55" s="40" t="s">
        <v>94</v>
      </c>
      <c r="F55" s="44">
        <f>D43*F35*(D13*2+D14+D15+D16*2)/1000</f>
        <v>13.020017748246559</v>
      </c>
      <c r="G55" s="32" t="s">
        <v>19</v>
      </c>
    </row>
    <row r="56" spans="2:7" ht="12.75">
      <c r="B56" s="29"/>
      <c r="C56" s="31"/>
      <c r="D56" s="38"/>
      <c r="E56" s="29" t="s">
        <v>95</v>
      </c>
      <c r="F56" s="78">
        <f>F55*D11</f>
        <v>117.18015973421903</v>
      </c>
      <c r="G56" s="32" t="s">
        <v>19</v>
      </c>
    </row>
    <row r="57" spans="2:7" ht="13.5" thickBot="1">
      <c r="B57" s="29"/>
      <c r="C57" s="31"/>
      <c r="D57" s="38"/>
      <c r="E57" s="43" t="s">
        <v>96</v>
      </c>
      <c r="F57" s="39">
        <f>100*PI()*(D41/2)^2*(F55/100)*8.96*D11*D43</f>
        <v>1616.2481770989166</v>
      </c>
      <c r="G57" s="32" t="s">
        <v>97</v>
      </c>
    </row>
    <row r="58" spans="2:7" ht="13.5" thickBot="1">
      <c r="B58" s="29"/>
      <c r="C58" s="31"/>
      <c r="D58" s="38"/>
      <c r="E58" s="38"/>
      <c r="F58" s="79"/>
      <c r="G58" s="32"/>
    </row>
    <row r="59" spans="2:7" ht="12.75">
      <c r="B59" s="68" t="s">
        <v>70</v>
      </c>
      <c r="C59" s="31"/>
      <c r="D59" s="38"/>
      <c r="E59" s="40" t="s">
        <v>94</v>
      </c>
      <c r="F59" s="44">
        <f>D43*F37*(D13*2+D14+D15+D16*2)/1000</f>
        <v>22.554738278065688</v>
      </c>
      <c r="G59" s="32" t="s">
        <v>19</v>
      </c>
    </row>
    <row r="60" spans="2:7" ht="12.75">
      <c r="B60" s="29"/>
      <c r="C60" s="31"/>
      <c r="D60" s="38"/>
      <c r="E60" s="29" t="s">
        <v>95</v>
      </c>
      <c r="F60" s="78">
        <f>F59*D11</f>
        <v>202.9926445025912</v>
      </c>
      <c r="G60" s="32" t="s">
        <v>19</v>
      </c>
    </row>
    <row r="61" spans="2:7" ht="13.5" thickBot="1">
      <c r="B61" s="29"/>
      <c r="C61" s="31"/>
      <c r="D61" s="38"/>
      <c r="E61" s="43" t="s">
        <v>96</v>
      </c>
      <c r="F61" s="39">
        <f>100*PI()*(D41/2)^2*(F59/100)*8.96*D11*D43</f>
        <v>2799.846769162522</v>
      </c>
      <c r="G61" s="32" t="s">
        <v>97</v>
      </c>
    </row>
    <row r="62" spans="2:7" ht="13.5" thickBot="1">
      <c r="B62" s="73"/>
      <c r="C62" s="48"/>
      <c r="D62" s="48"/>
      <c r="E62" s="48"/>
      <c r="F62" s="48"/>
      <c r="G62" s="50"/>
    </row>
    <row r="63" spans="2:7" ht="12.75">
      <c r="B63" s="25" t="s">
        <v>98</v>
      </c>
      <c r="C63" s="12"/>
      <c r="D63" s="12"/>
      <c r="E63" s="12"/>
      <c r="F63" s="12"/>
      <c r="G63" s="13"/>
    </row>
    <row r="64" spans="2:7" ht="13.5" thickBot="1">
      <c r="B64" s="10"/>
      <c r="C64" s="11"/>
      <c r="D64" s="12"/>
      <c r="E64" s="12"/>
      <c r="F64" s="12"/>
      <c r="G64" s="13"/>
    </row>
    <row r="65" spans="2:7" ht="13.5" thickBot="1">
      <c r="B65" s="14" t="s">
        <v>99</v>
      </c>
      <c r="C65" s="80" t="s">
        <v>100</v>
      </c>
      <c r="D65" s="81">
        <v>0.0178</v>
      </c>
      <c r="E65" s="12"/>
      <c r="F65" s="12"/>
      <c r="G65" s="13"/>
    </row>
    <row r="66" spans="2:7" ht="13.5" thickBot="1">
      <c r="B66" s="10"/>
      <c r="C66" s="12"/>
      <c r="D66" s="12"/>
      <c r="E66" s="11"/>
      <c r="F66" s="53"/>
      <c r="G66" s="13"/>
    </row>
    <row r="67" spans="2:7" ht="13.5" thickBot="1">
      <c r="B67" s="68" t="s">
        <v>67</v>
      </c>
      <c r="C67" s="12"/>
      <c r="D67" s="13"/>
      <c r="E67" s="12" t="s">
        <v>101</v>
      </c>
      <c r="F67" s="21">
        <f>(((F55/D43)*D65*D11*2/D33)/((PI()*((D41/2)*(D41/2)))*D43))</f>
        <v>0.9033101209283791</v>
      </c>
      <c r="G67" s="13" t="s">
        <v>81</v>
      </c>
    </row>
    <row r="68" spans="2:9" ht="13.5" thickBot="1">
      <c r="B68" s="10"/>
      <c r="C68" s="12"/>
      <c r="D68" s="13"/>
      <c r="E68" s="12"/>
      <c r="F68" s="13"/>
      <c r="G68" s="13"/>
      <c r="I68" s="3"/>
    </row>
    <row r="69" spans="2:9" ht="13.5" thickBot="1">
      <c r="B69" s="68" t="s">
        <v>70</v>
      </c>
      <c r="C69" s="12"/>
      <c r="D69" s="13"/>
      <c r="E69" s="82" t="s">
        <v>101</v>
      </c>
      <c r="F69" s="21">
        <f>((((F59/D43)*D65*D11*2/D33)/((PI()*((D41/2)*(D41/2)))*D43)))/3</f>
        <v>0.52160510979875</v>
      </c>
      <c r="G69" s="13" t="s">
        <v>81</v>
      </c>
      <c r="I69" s="3"/>
    </row>
    <row r="70" spans="2:7" ht="12.75">
      <c r="B70" s="10"/>
      <c r="C70" s="12"/>
      <c r="D70" s="12"/>
      <c r="E70" s="12"/>
      <c r="F70" s="12"/>
      <c r="G70" s="13"/>
    </row>
    <row r="71" spans="2:7" ht="13.5" thickBot="1">
      <c r="B71" s="22"/>
      <c r="C71" s="23"/>
      <c r="D71" s="23"/>
      <c r="E71" s="23"/>
      <c r="F71" s="23"/>
      <c r="G71" s="24"/>
    </row>
    <row r="72" spans="2:7" ht="12.75">
      <c r="B72" s="25" t="s">
        <v>102</v>
      </c>
      <c r="C72" s="31"/>
      <c r="D72" s="31"/>
      <c r="E72" s="31"/>
      <c r="F72" s="31"/>
      <c r="G72" s="32"/>
    </row>
    <row r="73" spans="2:7" ht="15">
      <c r="B73" s="105" t="s">
        <v>103</v>
      </c>
      <c r="C73" s="31"/>
      <c r="D73" s="31"/>
      <c r="E73" s="31"/>
      <c r="F73" s="31"/>
      <c r="G73" s="32"/>
    </row>
    <row r="74" spans="2:7" ht="13.5" thickBot="1">
      <c r="B74" s="29"/>
      <c r="C74" s="31"/>
      <c r="D74" s="31"/>
      <c r="E74" s="83" t="s">
        <v>67</v>
      </c>
      <c r="F74" s="31"/>
      <c r="G74" s="32"/>
    </row>
    <row r="75" spans="2:7" ht="12.75">
      <c r="B75" s="84" t="s">
        <v>104</v>
      </c>
      <c r="C75" s="38" t="s">
        <v>105</v>
      </c>
      <c r="D75" s="85">
        <v>1.23</v>
      </c>
      <c r="E75" s="86" t="s">
        <v>90</v>
      </c>
      <c r="F75" s="87">
        <f>0.5*D75*D76*0.01*D78^3*D7^2*0.25*PI()</f>
        <v>1049.8290819878941</v>
      </c>
      <c r="G75" s="32" t="s">
        <v>106</v>
      </c>
    </row>
    <row r="76" spans="2:7" ht="12.75">
      <c r="B76" s="84" t="s">
        <v>107</v>
      </c>
      <c r="C76" s="38" t="s">
        <v>93</v>
      </c>
      <c r="D76" s="88">
        <v>35</v>
      </c>
      <c r="E76" s="86" t="s">
        <v>119</v>
      </c>
      <c r="F76" s="89">
        <f>(D41^4*D32^2*F25^2*D80^2*D13*0.001*D11*2*F35*D43*PI())/(144*10^8*D65)</f>
        <v>32.31039215023524</v>
      </c>
      <c r="G76" s="32" t="s">
        <v>106</v>
      </c>
    </row>
    <row r="77" spans="2:7" ht="12.75">
      <c r="B77" s="84" t="s">
        <v>109</v>
      </c>
      <c r="C77" s="38" t="s">
        <v>86</v>
      </c>
      <c r="D77" s="90">
        <v>1.2</v>
      </c>
      <c r="E77" s="86" t="s">
        <v>121</v>
      </c>
      <c r="F77" s="89">
        <f>F75-F76</f>
        <v>1017.5186898376589</v>
      </c>
      <c r="G77" s="32" t="s">
        <v>106</v>
      </c>
    </row>
    <row r="78" spans="2:7" ht="13.5" thickBot="1">
      <c r="B78" s="84" t="s">
        <v>111</v>
      </c>
      <c r="C78" s="38" t="s">
        <v>28</v>
      </c>
      <c r="D78" s="93">
        <v>11</v>
      </c>
      <c r="E78" s="86" t="s">
        <v>108</v>
      </c>
      <c r="F78" s="89">
        <f>SQRT((D29*D29+2*F77*F67)/(2*F67*F67)-SQRT((D29^2+2*F77*F67)^2/(4*F67^4)-(F77^2/F67^2)))</f>
        <v>22.81137948900397</v>
      </c>
      <c r="G78" s="32" t="s">
        <v>89</v>
      </c>
    </row>
    <row r="79" spans="1:7" ht="13.5" thickBot="1">
      <c r="A79" s="95"/>
      <c r="B79" s="29"/>
      <c r="C79" s="31"/>
      <c r="D79" s="32"/>
      <c r="E79" s="91" t="s">
        <v>110</v>
      </c>
      <c r="F79" s="92">
        <f>F77-F78^2*F67</f>
        <v>547.4731077360951</v>
      </c>
      <c r="G79" s="32" t="s">
        <v>106</v>
      </c>
    </row>
    <row r="80" spans="1:7" ht="13.5" thickBot="1">
      <c r="A80" s="96"/>
      <c r="B80" s="84" t="s">
        <v>122</v>
      </c>
      <c r="C80" s="38" t="s">
        <v>84</v>
      </c>
      <c r="D80" s="109">
        <f>D78*60*D5/(D7*PI())</f>
        <v>437.67609350271215</v>
      </c>
      <c r="E80" s="91" t="s">
        <v>112</v>
      </c>
      <c r="F80" s="92">
        <f>F79*100/F75</f>
        <v>52.148784704976215</v>
      </c>
      <c r="G80" s="32" t="s">
        <v>93</v>
      </c>
    </row>
    <row r="81" spans="1:7" ht="12.75">
      <c r="A81" s="98"/>
      <c r="B81" s="29"/>
      <c r="C81" s="31"/>
      <c r="D81" s="32"/>
      <c r="E81" s="91" t="s">
        <v>113</v>
      </c>
      <c r="F81" s="94">
        <f>F78^2*F67</f>
        <v>470.0455821015638</v>
      </c>
      <c r="G81" s="32" t="s">
        <v>106</v>
      </c>
    </row>
    <row r="82" spans="1:7" ht="12.75">
      <c r="A82" s="98"/>
      <c r="B82" s="29"/>
      <c r="C82" s="38"/>
      <c r="D82" s="97"/>
      <c r="E82" s="86" t="s">
        <v>114</v>
      </c>
      <c r="F82" s="89">
        <f>D77*F78</f>
        <v>27.37365538680476</v>
      </c>
      <c r="G82" s="32" t="s">
        <v>106</v>
      </c>
    </row>
    <row r="83" spans="2:7" ht="12.75">
      <c r="B83" s="29"/>
      <c r="C83" s="38"/>
      <c r="D83" s="97"/>
      <c r="E83" s="86" t="s">
        <v>115</v>
      </c>
      <c r="F83" s="92">
        <f>F79-F82</f>
        <v>520.0994523492903</v>
      </c>
      <c r="G83" s="32" t="s">
        <v>106</v>
      </c>
    </row>
    <row r="84" spans="2:7" ht="12.75">
      <c r="B84" s="84"/>
      <c r="C84" s="38"/>
      <c r="D84" s="97"/>
      <c r="E84" s="86" t="s">
        <v>116</v>
      </c>
      <c r="F84" s="89">
        <f>F83/D29</f>
        <v>21.670810514553764</v>
      </c>
      <c r="G84" s="32" t="s">
        <v>89</v>
      </c>
    </row>
    <row r="85" spans="2:9" ht="12.75">
      <c r="B85" s="84"/>
      <c r="C85" s="38"/>
      <c r="D85" s="97"/>
      <c r="E85" s="91" t="s">
        <v>117</v>
      </c>
      <c r="F85" s="92">
        <f>F83/F75*100</f>
        <v>49.541345469727396</v>
      </c>
      <c r="G85" s="32" t="s">
        <v>93</v>
      </c>
      <c r="I85" s="3"/>
    </row>
    <row r="86" spans="2:9" ht="13.5" thickBot="1">
      <c r="B86" s="84"/>
      <c r="C86" s="38"/>
      <c r="D86" s="38"/>
      <c r="E86" s="108" t="s">
        <v>118</v>
      </c>
      <c r="F86" s="107">
        <f>F83/F75*D76</f>
        <v>17.33947091440459</v>
      </c>
      <c r="G86" s="32" t="s">
        <v>93</v>
      </c>
      <c r="I86" s="3"/>
    </row>
    <row r="87" spans="2:9" ht="12.75">
      <c r="B87" s="84"/>
      <c r="C87" s="38"/>
      <c r="D87" s="38"/>
      <c r="E87" s="113"/>
      <c r="F87" s="38"/>
      <c r="G87" s="32"/>
      <c r="I87" s="3"/>
    </row>
    <row r="88" spans="2:7" ht="12.75">
      <c r="B88" s="84"/>
      <c r="C88" s="38"/>
      <c r="D88" s="38"/>
      <c r="E88" s="38"/>
      <c r="F88" s="38"/>
      <c r="G88" s="32"/>
    </row>
    <row r="89" spans="2:7" ht="13.5" thickBot="1">
      <c r="B89" s="84"/>
      <c r="C89" s="38"/>
      <c r="D89" s="100"/>
      <c r="E89" s="83" t="s">
        <v>70</v>
      </c>
      <c r="F89" s="47"/>
      <c r="G89" s="32"/>
    </row>
    <row r="90" spans="2:7" ht="12.75">
      <c r="B90" s="84"/>
      <c r="C90" s="100"/>
      <c r="D90" s="32"/>
      <c r="E90" s="86" t="s">
        <v>90</v>
      </c>
      <c r="F90" s="87">
        <f>(0.5*D75*(PI()*((D7/2)*(D7/2)))*(D78*D78*D78)*(D76/100))</f>
        <v>1049.829081987894</v>
      </c>
      <c r="G90" s="32" t="s">
        <v>106</v>
      </c>
    </row>
    <row r="91" spans="2:7" ht="12.75">
      <c r="B91" s="84"/>
      <c r="C91" s="100"/>
      <c r="D91" s="32"/>
      <c r="E91" s="86" t="s">
        <v>119</v>
      </c>
      <c r="F91" s="89">
        <f>(D41^4*D32^2*F25^2*D80^2*D13*0.001*D11*2*PI()*F37*D43)/(144*10^8*D65)</f>
        <v>55.97169318055399</v>
      </c>
      <c r="G91" s="32" t="s">
        <v>106</v>
      </c>
    </row>
    <row r="92" spans="2:7" ht="12.75">
      <c r="B92" s="84"/>
      <c r="C92" s="100"/>
      <c r="D92" s="32"/>
      <c r="E92" s="86" t="s">
        <v>121</v>
      </c>
      <c r="F92" s="89">
        <f>F90-F91</f>
        <v>993.8573888073399</v>
      </c>
      <c r="G92" s="32" t="s">
        <v>106</v>
      </c>
    </row>
    <row r="93" spans="2:7" ht="12.75">
      <c r="B93" s="84"/>
      <c r="C93" s="100"/>
      <c r="D93" s="32"/>
      <c r="E93" s="86" t="s">
        <v>108</v>
      </c>
      <c r="F93" s="89">
        <f>SQRT((D29*D29+2*F92*F69)/(2*F69*F69)-SQRT((D29^2+2*F92*F69)^2/(4*F69^4)-(F92^2/F69^2)))</f>
        <v>26.336310116353822</v>
      </c>
      <c r="G93" s="32" t="s">
        <v>89</v>
      </c>
    </row>
    <row r="94" spans="2:7" ht="12.75">
      <c r="B94" s="29"/>
      <c r="C94" s="38"/>
      <c r="D94" s="32"/>
      <c r="E94" s="91" t="s">
        <v>110</v>
      </c>
      <c r="F94" s="92">
        <f>F90-F93^2*F69</f>
        <v>688.043135973046</v>
      </c>
      <c r="G94" s="32" t="s">
        <v>106</v>
      </c>
    </row>
    <row r="95" spans="2:8" ht="12.75">
      <c r="B95" s="84"/>
      <c r="C95" s="100"/>
      <c r="D95" s="32"/>
      <c r="E95" s="91" t="s">
        <v>112</v>
      </c>
      <c r="F95" s="92">
        <f>F94*100/F90</f>
        <v>65.53858602108912</v>
      </c>
      <c r="G95" s="32" t="s">
        <v>93</v>
      </c>
      <c r="H95" s="3"/>
    </row>
    <row r="96" spans="2:7" ht="12.75">
      <c r="B96" s="84"/>
      <c r="C96" s="100"/>
      <c r="D96" s="32"/>
      <c r="E96" s="91" t="s">
        <v>113</v>
      </c>
      <c r="F96" s="94">
        <f>F93^2*F69</f>
        <v>361.785946014848</v>
      </c>
      <c r="G96" s="32" t="s">
        <v>106</v>
      </c>
    </row>
    <row r="97" spans="2:7" ht="12.75">
      <c r="B97" s="37"/>
      <c r="C97" s="79"/>
      <c r="D97" s="32"/>
      <c r="E97" s="86" t="s">
        <v>114</v>
      </c>
      <c r="F97" s="89">
        <f>D77*F93</f>
        <v>31.603572139624585</v>
      </c>
      <c r="G97" s="32" t="s">
        <v>106</v>
      </c>
    </row>
    <row r="98" spans="2:7" ht="12.75">
      <c r="B98" s="37"/>
      <c r="C98" s="79"/>
      <c r="D98" s="32"/>
      <c r="E98" s="86" t="s">
        <v>115</v>
      </c>
      <c r="F98" s="89">
        <f>F94-F97</f>
        <v>656.4395638334214</v>
      </c>
      <c r="G98" s="32" t="s">
        <v>106</v>
      </c>
    </row>
    <row r="99" spans="2:7" ht="12.75">
      <c r="B99" s="37"/>
      <c r="C99" s="79"/>
      <c r="D99" s="32"/>
      <c r="E99" s="86" t="s">
        <v>116</v>
      </c>
      <c r="F99" s="89">
        <f>F98/D29</f>
        <v>27.351648493059226</v>
      </c>
      <c r="G99" s="32" t="s">
        <v>89</v>
      </c>
    </row>
    <row r="100" spans="2:7" ht="12.75">
      <c r="B100" s="37"/>
      <c r="C100" s="79"/>
      <c r="D100" s="32"/>
      <c r="E100" s="91" t="s">
        <v>117</v>
      </c>
      <c r="F100" s="92">
        <f>F98*100/F90</f>
        <v>62.52823198519386</v>
      </c>
      <c r="G100" s="32" t="s">
        <v>93</v>
      </c>
    </row>
    <row r="101" spans="2:7" ht="13.5" thickBot="1">
      <c r="B101" s="37"/>
      <c r="C101" s="79"/>
      <c r="D101" s="32"/>
      <c r="E101" s="101" t="s">
        <v>118</v>
      </c>
      <c r="F101" s="99">
        <f>F95*D76/100</f>
        <v>22.938505107381193</v>
      </c>
      <c r="G101" s="32" t="s">
        <v>93</v>
      </c>
    </row>
    <row r="102" spans="2:7" ht="13.5" thickBot="1">
      <c r="B102" s="73"/>
      <c r="C102" s="48"/>
      <c r="D102" s="48"/>
      <c r="E102" s="102"/>
      <c r="F102" s="103"/>
      <c r="G102" s="50"/>
    </row>
    <row r="125" ht="12.75">
      <c r="A125" s="104"/>
    </row>
    <row r="142" ht="12.75">
      <c r="A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  <oleObjects>
    <oleObject progId="opendocument.MathDocument.1" shapeId="30930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37">
      <selection activeCell="N45" sqref="N45"/>
    </sheetView>
  </sheetViews>
  <sheetFormatPr defaultColWidth="11.421875" defaultRowHeight="12.75"/>
  <cols>
    <col min="1" max="1" width="15.140625" style="0" customWidth="1"/>
    <col min="2" max="2" width="11.421875" style="0" customWidth="1"/>
    <col min="3" max="3" width="18.140625" style="0" customWidth="1"/>
    <col min="4" max="4" width="10.7109375" style="0" customWidth="1"/>
    <col min="5" max="5" width="20.140625" style="0" customWidth="1"/>
    <col min="6" max="6" width="10.00390625" style="0" customWidth="1"/>
    <col min="7" max="7" width="11.421875" style="0" customWidth="1"/>
    <col min="8" max="8" width="18.8515625" style="0" customWidth="1"/>
    <col min="9" max="9" width="15.7109375" style="0" customWidth="1"/>
    <col min="12" max="12" width="13.140625" style="0" customWidth="1"/>
  </cols>
  <sheetData>
    <row r="1" spans="1:21" ht="26.25">
      <c r="A1" s="116" t="s">
        <v>129</v>
      </c>
      <c r="U1" t="s">
        <v>132</v>
      </c>
    </row>
    <row r="3" spans="1:22" ht="15.75">
      <c r="A3" s="124" t="s">
        <v>125</v>
      </c>
      <c r="B3" s="119" t="s">
        <v>120</v>
      </c>
      <c r="C3" s="119" t="s">
        <v>126</v>
      </c>
      <c r="D3" s="119" t="s">
        <v>133</v>
      </c>
      <c r="E3" s="119" t="s">
        <v>130</v>
      </c>
      <c r="F3" s="119" t="s">
        <v>88</v>
      </c>
      <c r="G3" s="119" t="s">
        <v>131</v>
      </c>
      <c r="H3" s="119" t="s">
        <v>135</v>
      </c>
      <c r="I3" s="119" t="s">
        <v>138</v>
      </c>
      <c r="J3" s="119" t="s">
        <v>137</v>
      </c>
      <c r="K3" s="119" t="s">
        <v>139</v>
      </c>
      <c r="L3" s="124" t="s">
        <v>141</v>
      </c>
      <c r="U3" t="s">
        <v>134</v>
      </c>
      <c r="V3" t="s">
        <v>136</v>
      </c>
    </row>
    <row r="4" spans="1:12" ht="12.75">
      <c r="A4" s="125" t="s">
        <v>123</v>
      </c>
      <c r="B4" s="120" t="s">
        <v>124</v>
      </c>
      <c r="C4" s="120" t="s">
        <v>124</v>
      </c>
      <c r="D4" s="120" t="s">
        <v>124</v>
      </c>
      <c r="E4" s="120" t="s">
        <v>127</v>
      </c>
      <c r="F4" s="120" t="s">
        <v>128</v>
      </c>
      <c r="G4" s="120" t="s">
        <v>124</v>
      </c>
      <c r="H4" s="120" t="s">
        <v>124</v>
      </c>
      <c r="I4" s="120" t="s">
        <v>124</v>
      </c>
      <c r="J4" s="120" t="s">
        <v>124</v>
      </c>
      <c r="K4" s="120" t="s">
        <v>140</v>
      </c>
      <c r="L4" s="125" t="s">
        <v>140</v>
      </c>
    </row>
    <row r="5" spans="1:23" ht="13.5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6"/>
      <c r="U5" s="118">
        <f>Sheet1!F67</f>
        <v>0.9033101209283791</v>
      </c>
      <c r="V5" s="118">
        <f>Sheet1!D77</f>
        <v>1.2</v>
      </c>
      <c r="W5" s="118">
        <f>Sheet1!D76</f>
        <v>35</v>
      </c>
    </row>
    <row r="6" spans="2:23" ht="12.75">
      <c r="B6" s="122"/>
      <c r="C6" s="122"/>
      <c r="D6" s="122"/>
      <c r="E6" s="122"/>
      <c r="F6" s="122"/>
      <c r="G6" s="122"/>
      <c r="H6" s="122"/>
      <c r="I6" s="122"/>
      <c r="J6" s="122"/>
      <c r="K6" s="122"/>
      <c r="U6" s="118">
        <f>U5</f>
        <v>0.9033101209283791</v>
      </c>
      <c r="V6" s="118">
        <f>V5</f>
        <v>1.2</v>
      </c>
      <c r="W6" s="118">
        <f>W5</f>
        <v>35</v>
      </c>
    </row>
    <row r="7" spans="1:23" ht="12.75">
      <c r="A7" s="114">
        <v>1</v>
      </c>
      <c r="B7" s="121">
        <f>A7^3*Sheet1!D75*0.5*Sheet1!D7^2*0.25*3.14159*Sheet1!D76*0.01</f>
        <v>0.7887514614840001</v>
      </c>
      <c r="C7" s="121">
        <f>(Sheet1!D41^4*Sheet1!D32^2*Sheet1!F25^2*(Sheet1!D5*60*Tabelle1!A7/(3.14159*Sheet1!D7))^2*Sheet1!D13*0.001*Sheet1!D11*2*Sheet1!F35*Sheet1!D43*PI())/(144*10^8*Sheet1!D65)</f>
        <v>0.2670284853978993</v>
      </c>
      <c r="D7" s="121">
        <f>B7-C7</f>
        <v>0.5217229760861009</v>
      </c>
      <c r="E7" s="121">
        <f>Sheet1!D29</f>
        <v>24</v>
      </c>
      <c r="F7" s="123">
        <f>IF(D7&gt;E7,"=WURZEL((D29*D29+2*F77*F67)/(2*F67*F67)-WURZEL((D29^2+2*F77*F67)^2/(4*F67^4)-(F77^2/F67^2)))",0)</f>
        <v>0</v>
      </c>
      <c r="G7" s="121">
        <f aca="true" t="shared" si="0" ref="G7:G29">F7^2*U5</f>
        <v>0</v>
      </c>
      <c r="H7" s="121">
        <f aca="true" t="shared" si="1" ref="H7:H29">F7*V5</f>
        <v>0</v>
      </c>
      <c r="I7" s="121">
        <f>H7+G7</f>
        <v>0</v>
      </c>
      <c r="J7" s="121">
        <f>IF(I7&gt;0,D7-I7,0)</f>
        <v>0</v>
      </c>
      <c r="K7" s="121">
        <f>E7*F7/B7*100</f>
        <v>0</v>
      </c>
      <c r="L7" s="114">
        <f aca="true" t="shared" si="2" ref="L7:L29">J7/(B7/W5)</f>
        <v>0</v>
      </c>
      <c r="U7" s="118">
        <f aca="true" t="shared" si="3" ref="U7:U30">U6</f>
        <v>0.9033101209283791</v>
      </c>
      <c r="V7" s="118">
        <f aca="true" t="shared" si="4" ref="V7:V31">V6</f>
        <v>1.2</v>
      </c>
      <c r="W7" s="118">
        <f aca="true" t="shared" si="5" ref="W7:W31">W6</f>
        <v>35</v>
      </c>
    </row>
    <row r="8" spans="1:23" ht="12.75">
      <c r="A8" s="114">
        <v>1.5</v>
      </c>
      <c r="B8" s="121">
        <f>A8^3*Sheet1!D75*0.5*Sheet1!D7^2*0.25*3.14159*Sheet1!D76*0.01</f>
        <v>2.6620361825085004</v>
      </c>
      <c r="C8" s="121">
        <f>(Sheet1!D41^4*Sheet1!D32^2*Sheet1!F25^2*(Sheet1!D5*60*Tabelle1!A8/(3.14159*Sheet1!D7))^2*Sheet1!D13*0.001*Sheet1!D11*2*Sheet1!F35*Sheet1!D43*PI())/(144*10^8*Sheet1!D65)</f>
        <v>0.6008140921452736</v>
      </c>
      <c r="D8" s="121">
        <f aca="true" t="shared" si="6" ref="D8:D29">B8-C8</f>
        <v>2.061222090363227</v>
      </c>
      <c r="E8" s="121">
        <f>E7</f>
        <v>24</v>
      </c>
      <c r="F8" s="123">
        <f>IF(D8&gt;E8,"=WURZEL((D29*D29+2*F77*F67)/(2*F67*F67)-WURZEL((D29^2+2*F77*F67)^2/(4*F67^4)-(F77^2/F67^2)))",0)</f>
        <v>0</v>
      </c>
      <c r="G8" s="121">
        <f t="shared" si="0"/>
        <v>0</v>
      </c>
      <c r="H8" s="121">
        <f t="shared" si="1"/>
        <v>0</v>
      </c>
      <c r="I8" s="121">
        <f aca="true" t="shared" si="7" ref="I8:I29">H8+G8</f>
        <v>0</v>
      </c>
      <c r="J8" s="121">
        <f aca="true" t="shared" si="8" ref="J8:J29">IF(I8&gt;0,D8-I8,0)</f>
        <v>0</v>
      </c>
      <c r="K8" s="121">
        <f aca="true" t="shared" si="9" ref="K8:K29">E8*F8/B8*100</f>
        <v>0</v>
      </c>
      <c r="L8" s="114">
        <f t="shared" si="2"/>
        <v>0</v>
      </c>
      <c r="U8" s="118">
        <f t="shared" si="3"/>
        <v>0.9033101209283791</v>
      </c>
      <c r="V8" s="118">
        <f t="shared" si="4"/>
        <v>1.2</v>
      </c>
      <c r="W8" s="118">
        <f t="shared" si="5"/>
        <v>35</v>
      </c>
    </row>
    <row r="9" spans="1:23" ht="12.75">
      <c r="A9" s="114">
        <v>2</v>
      </c>
      <c r="B9" s="121">
        <f>A9^3*Sheet1!D75*0.5*Sheet1!D7^2*0.25*3.14159*Sheet1!D76*0.01</f>
        <v>6.310011691872001</v>
      </c>
      <c r="C9" s="121">
        <f>(Sheet1!D41^4*Sheet1!D32^2*Sheet1!F25^2*(Sheet1!D5*60*Tabelle1!A9/(3.14159*Sheet1!D7))^2*Sheet1!D13*0.001*Sheet1!D11*2*Sheet1!F35*Sheet1!D43*PI())/(144*10^8*Sheet1!D65)</f>
        <v>1.0681139415915972</v>
      </c>
      <c r="D9" s="121">
        <f t="shared" si="6"/>
        <v>5.241897750280404</v>
      </c>
      <c r="E9" s="121">
        <f aca="true" t="shared" si="10" ref="E9:E29">E8</f>
        <v>24</v>
      </c>
      <c r="F9" s="123">
        <f>IF(D9&gt;E9,"=WURZEL((D29*D29+2*F77*F67)/(2*F67*F67)-WURZEL((D29^2+2*F77*F67)^2/(4*F67^4)-(F77^2/F67^2)))",0)</f>
        <v>0</v>
      </c>
      <c r="G9" s="121">
        <f t="shared" si="0"/>
        <v>0</v>
      </c>
      <c r="H9" s="121">
        <f t="shared" si="1"/>
        <v>0</v>
      </c>
      <c r="I9" s="121">
        <f t="shared" si="7"/>
        <v>0</v>
      </c>
      <c r="J9" s="121">
        <f t="shared" si="8"/>
        <v>0</v>
      </c>
      <c r="K9" s="121">
        <f t="shared" si="9"/>
        <v>0</v>
      </c>
      <c r="L9" s="114">
        <f t="shared" si="2"/>
        <v>0</v>
      </c>
      <c r="U9" s="118">
        <f t="shared" si="3"/>
        <v>0.9033101209283791</v>
      </c>
      <c r="V9" s="118">
        <f t="shared" si="4"/>
        <v>1.2</v>
      </c>
      <c r="W9" s="118">
        <f t="shared" si="5"/>
        <v>35</v>
      </c>
    </row>
    <row r="10" spans="1:23" ht="12.75">
      <c r="A10" s="114">
        <v>2.5</v>
      </c>
      <c r="B10" s="121">
        <f>A10^3*Sheet1!D75*0.5*Sheet1!D7^2*0.25*3.14159*Sheet1!D76*0.01</f>
        <v>12.3242415856875</v>
      </c>
      <c r="C10" s="121">
        <f>(Sheet1!D41^4*Sheet1!D32^2*Sheet1!F25^2*(Sheet1!D5*60*Tabelle1!A10/(3.14159*Sheet1!D7))^2*Sheet1!D13*0.001*Sheet1!D11*2*Sheet1!F35*Sheet1!D43*PI())/(144*10^8*Sheet1!D65)</f>
        <v>1.6689280337368717</v>
      </c>
      <c r="D10" s="121">
        <f t="shared" si="6"/>
        <v>10.655313551950627</v>
      </c>
      <c r="E10" s="121">
        <f t="shared" si="10"/>
        <v>24</v>
      </c>
      <c r="F10" s="123">
        <f>IF(D10&gt;E10,"=WURZEL((D29*D29+2*F77*F67)/(2*F67*F67)-WURZEL((D29^2+2*F77*F67)^2/(4*F67^4)-(F77^2/F67^2)))",0)</f>
        <v>0</v>
      </c>
      <c r="G10" s="121">
        <f t="shared" si="0"/>
        <v>0</v>
      </c>
      <c r="H10" s="121">
        <f t="shared" si="1"/>
        <v>0</v>
      </c>
      <c r="I10" s="121">
        <f t="shared" si="7"/>
        <v>0</v>
      </c>
      <c r="J10" s="121">
        <f t="shared" si="8"/>
        <v>0</v>
      </c>
      <c r="K10" s="121">
        <f t="shared" si="9"/>
        <v>0</v>
      </c>
      <c r="L10" s="114">
        <f t="shared" si="2"/>
        <v>0</v>
      </c>
      <c r="U10" s="118">
        <f t="shared" si="3"/>
        <v>0.9033101209283791</v>
      </c>
      <c r="V10" s="118">
        <f t="shared" si="4"/>
        <v>1.2</v>
      </c>
      <c r="W10" s="118">
        <f t="shared" si="5"/>
        <v>35</v>
      </c>
    </row>
    <row r="11" spans="1:23" ht="12.75">
      <c r="A11" s="114">
        <v>3</v>
      </c>
      <c r="B11" s="121">
        <f>A11^3*Sheet1!D75*0.5*Sheet1!D7^2*0.25*3.14159*Sheet1!D76*0.01</f>
        <v>21.296289460068003</v>
      </c>
      <c r="C11" s="121">
        <f>(Sheet1!D41^4*Sheet1!D32^2*Sheet1!F25^2*(Sheet1!D5*60*Tabelle1!A11/(3.14159*Sheet1!D7))^2*Sheet1!D13*0.001*Sheet1!D11*2*Sheet1!F35*Sheet1!D43*PI())/(144*10^8*Sheet1!D65)</f>
        <v>2.4032563685810944</v>
      </c>
      <c r="D11" s="121">
        <f t="shared" si="6"/>
        <v>18.89303309148691</v>
      </c>
      <c r="E11" s="121">
        <f t="shared" si="10"/>
        <v>24</v>
      </c>
      <c r="F11" s="123">
        <f>IF(D11&gt;E11,"=WURZEL((D29*D29+2*F77*F67)/(2*F67*F67)-WURZEL((D29^2+2*F77*F67)^2/(4*F67^4)-(F77^2/F67^2)))",0)</f>
        <v>0</v>
      </c>
      <c r="G11" s="121">
        <f t="shared" si="0"/>
        <v>0</v>
      </c>
      <c r="H11" s="121">
        <f t="shared" si="1"/>
        <v>0</v>
      </c>
      <c r="I11" s="121">
        <f t="shared" si="7"/>
        <v>0</v>
      </c>
      <c r="J11" s="121">
        <f t="shared" si="8"/>
        <v>0</v>
      </c>
      <c r="K11" s="121">
        <f t="shared" si="9"/>
        <v>0</v>
      </c>
      <c r="L11" s="114">
        <f t="shared" si="2"/>
        <v>0</v>
      </c>
      <c r="U11" s="118">
        <f t="shared" si="3"/>
        <v>0.9033101209283791</v>
      </c>
      <c r="V11" s="118">
        <f t="shared" si="4"/>
        <v>1.2</v>
      </c>
      <c r="W11" s="118">
        <f t="shared" si="5"/>
        <v>35</v>
      </c>
    </row>
    <row r="12" spans="1:23" ht="12.75">
      <c r="A12" s="114">
        <v>3.5</v>
      </c>
      <c r="B12" s="121">
        <f>A12^3*Sheet1!D75*0.5*Sheet1!D7^2*0.25*3.14159*Sheet1!D76*0.01</f>
        <v>33.8177189111265</v>
      </c>
      <c r="C12" s="121">
        <f>(Sheet1!D41^4*Sheet1!D32^2*Sheet1!F25^2*(Sheet1!D5*60*Tabelle1!A12/(3.14159*Sheet1!D7))^2*Sheet1!D13*0.001*Sheet1!D11*2*Sheet1!F35*Sheet1!D43*PI())/(144*10^8*Sheet1!D65)</f>
        <v>3.2710989461242677</v>
      </c>
      <c r="D12" s="121">
        <f t="shared" si="6"/>
        <v>30.54661996500223</v>
      </c>
      <c r="E12" s="121">
        <f t="shared" si="10"/>
        <v>24</v>
      </c>
      <c r="F12" s="123">
        <f aca="true" t="shared" si="11" ref="F12:F29">IF(D12&gt;E12,SQRT((E12*E12+2*D12*U11)/(2*U11*U11)-SQRT((E12^2+2*D12*U11)^2/(4*U11^4)-(D12^2/U11^2))),0)</f>
        <v>1.2170281419233087</v>
      </c>
      <c r="G12" s="121">
        <f t="shared" si="0"/>
        <v>1.3379445588430987</v>
      </c>
      <c r="H12" s="121">
        <f t="shared" si="1"/>
        <v>1.4604337703079704</v>
      </c>
      <c r="I12" s="121">
        <f t="shared" si="7"/>
        <v>2.798378329151069</v>
      </c>
      <c r="J12" s="121">
        <f t="shared" si="8"/>
        <v>27.74824163585116</v>
      </c>
      <c r="K12" s="121">
        <f t="shared" si="9"/>
        <v>86.37092135906703</v>
      </c>
      <c r="L12" s="115">
        <f t="shared" si="2"/>
        <v>28.7183313518895</v>
      </c>
      <c r="U12" s="118">
        <f t="shared" si="3"/>
        <v>0.9033101209283791</v>
      </c>
      <c r="V12" s="118">
        <f t="shared" si="4"/>
        <v>1.2</v>
      </c>
      <c r="W12" s="118">
        <f t="shared" si="5"/>
        <v>35</v>
      </c>
    </row>
    <row r="13" spans="1:23" ht="12.75">
      <c r="A13" s="114">
        <v>4</v>
      </c>
      <c r="B13" s="121">
        <f>A13^3*Sheet1!D75*0.5*Sheet1!D7^2*0.25*3.14159*Sheet1!D76*0.01</f>
        <v>50.48009353497601</v>
      </c>
      <c r="C13" s="121">
        <f>(Sheet1!D41^4*Sheet1!D32^2*Sheet1!F25^2*(Sheet1!D5*60*Tabelle1!A13/(3.14159*Sheet1!D7))^2*Sheet1!D13*0.001*Sheet1!D11*2*Sheet1!F35*Sheet1!D43*PI())/(144*10^8*Sheet1!D65)</f>
        <v>4.272455766366389</v>
      </c>
      <c r="D13" s="121">
        <f t="shared" si="6"/>
        <v>46.207637768609615</v>
      </c>
      <c r="E13" s="121">
        <f t="shared" si="10"/>
        <v>24</v>
      </c>
      <c r="F13" s="123">
        <f t="shared" si="11"/>
        <v>1.8029687825998095</v>
      </c>
      <c r="G13" s="121">
        <f t="shared" si="0"/>
        <v>2.936386986214653</v>
      </c>
      <c r="H13" s="121">
        <f t="shared" si="1"/>
        <v>2.1635625391197713</v>
      </c>
      <c r="I13" s="121">
        <f t="shared" si="7"/>
        <v>5.0999495253344245</v>
      </c>
      <c r="J13" s="121">
        <f t="shared" si="8"/>
        <v>41.10768824327519</v>
      </c>
      <c r="K13" s="121">
        <f t="shared" si="9"/>
        <v>85.71943463697069</v>
      </c>
      <c r="L13" s="115">
        <f t="shared" si="2"/>
        <v>28.501712016792432</v>
      </c>
      <c r="U13" s="118">
        <f t="shared" si="3"/>
        <v>0.9033101209283791</v>
      </c>
      <c r="V13" s="118">
        <f t="shared" si="4"/>
        <v>1.2</v>
      </c>
      <c r="W13" s="118">
        <f t="shared" si="5"/>
        <v>35</v>
      </c>
    </row>
    <row r="14" spans="1:23" ht="12.75">
      <c r="A14" s="114">
        <v>4.5</v>
      </c>
      <c r="B14" s="121">
        <f>A14^3*Sheet1!D75*0.5*Sheet1!D7^2*0.25*3.14159*Sheet1!D76*0.01</f>
        <v>71.87497692772949</v>
      </c>
      <c r="C14" s="121">
        <f>(Sheet1!D41^4*Sheet1!D32^2*Sheet1!F25^2*(Sheet1!D5*60*Tabelle1!A14/(3.14159*Sheet1!D7))^2*Sheet1!D13*0.001*Sheet1!D11*2*Sheet1!F35*Sheet1!D43*PI())/(144*10^8*Sheet1!D65)</f>
        <v>5.407326829307464</v>
      </c>
      <c r="D14" s="121">
        <f t="shared" si="6"/>
        <v>66.46765009842203</v>
      </c>
      <c r="E14" s="121">
        <f t="shared" si="10"/>
        <v>24</v>
      </c>
      <c r="F14" s="123">
        <f t="shared" si="11"/>
        <v>2.5287977578044756</v>
      </c>
      <c r="G14" s="121">
        <f t="shared" si="0"/>
        <v>5.776503911114829</v>
      </c>
      <c r="H14" s="121">
        <f t="shared" si="1"/>
        <v>3.0345573093653706</v>
      </c>
      <c r="I14" s="121">
        <f t="shared" si="7"/>
        <v>8.8110612204802</v>
      </c>
      <c r="J14" s="121">
        <f t="shared" si="8"/>
        <v>57.65658887794183</v>
      </c>
      <c r="K14" s="121">
        <f t="shared" si="9"/>
        <v>84.43988267061643</v>
      </c>
      <c r="L14" s="115">
        <f t="shared" si="2"/>
        <v>28.076260987979857</v>
      </c>
      <c r="U14" s="118">
        <f t="shared" si="3"/>
        <v>0.9033101209283791</v>
      </c>
      <c r="V14" s="118">
        <f t="shared" si="4"/>
        <v>1.2</v>
      </c>
      <c r="W14" s="118">
        <f t="shared" si="5"/>
        <v>35</v>
      </c>
    </row>
    <row r="15" spans="1:23" ht="12.75">
      <c r="A15" s="114">
        <v>5</v>
      </c>
      <c r="B15" s="121">
        <f>A15^3*Sheet1!D75*0.5*Sheet1!D7^2*0.25*3.14159*Sheet1!D76*0.01</f>
        <v>98.5939326855</v>
      </c>
      <c r="C15" s="121">
        <f>(Sheet1!D41^4*Sheet1!D32^2*Sheet1!F25^2*(Sheet1!D5*60*Tabelle1!A15/(3.14159*Sheet1!D7))^2*Sheet1!D13*0.001*Sheet1!D11*2*Sheet1!F35*Sheet1!D43*PI())/(144*10^8*Sheet1!D65)</f>
        <v>6.675712134947487</v>
      </c>
      <c r="D15" s="121">
        <f t="shared" si="6"/>
        <v>91.9182205505525</v>
      </c>
      <c r="E15" s="121">
        <f t="shared" si="10"/>
        <v>24</v>
      </c>
      <c r="F15" s="123">
        <f t="shared" si="11"/>
        <v>3.395884226166517</v>
      </c>
      <c r="G15" s="121">
        <f t="shared" si="0"/>
        <v>10.416999122556179</v>
      </c>
      <c r="H15" s="121">
        <f t="shared" si="1"/>
        <v>4.07506107139982</v>
      </c>
      <c r="I15" s="121">
        <f t="shared" si="7"/>
        <v>14.492060193956</v>
      </c>
      <c r="J15" s="121">
        <f t="shared" si="8"/>
        <v>77.42616035659651</v>
      </c>
      <c r="K15" s="121">
        <f t="shared" si="9"/>
        <v>82.66352625163377</v>
      </c>
      <c r="L15" s="115">
        <f t="shared" si="2"/>
        <v>27.485622478668198</v>
      </c>
      <c r="U15" s="118">
        <f t="shared" si="3"/>
        <v>0.9033101209283791</v>
      </c>
      <c r="V15" s="118">
        <f t="shared" si="4"/>
        <v>1.2</v>
      </c>
      <c r="W15" s="118">
        <f t="shared" si="5"/>
        <v>35</v>
      </c>
    </row>
    <row r="16" spans="1:23" ht="12.75">
      <c r="A16" s="114">
        <v>5.5</v>
      </c>
      <c r="B16" s="121">
        <f>A16^3*Sheet1!D75*0.5*Sheet1!D7^2*0.25*3.14159*Sheet1!D76*0.01</f>
        <v>131.2285244044005</v>
      </c>
      <c r="C16" s="121">
        <f>(Sheet1!D41^4*Sheet1!D32^2*Sheet1!F25^2*(Sheet1!D5*60*Tabelle1!A16/(3.14159*Sheet1!D7))^2*Sheet1!D13*0.001*Sheet1!D11*2*Sheet1!F35*Sheet1!D43*PI())/(144*10^8*Sheet1!D65)</f>
        <v>8.077611683286456</v>
      </c>
      <c r="D16" s="121">
        <f t="shared" si="6"/>
        <v>123.15091272111405</v>
      </c>
      <c r="E16" s="121">
        <f t="shared" si="10"/>
        <v>24</v>
      </c>
      <c r="F16" s="123">
        <f t="shared" si="11"/>
        <v>4.401966416264469</v>
      </c>
      <c r="G16" s="121">
        <f t="shared" si="0"/>
        <v>17.50371873076675</v>
      </c>
      <c r="H16" s="121">
        <f t="shared" si="1"/>
        <v>5.282359699517363</v>
      </c>
      <c r="I16" s="121">
        <f t="shared" si="7"/>
        <v>22.786078430284114</v>
      </c>
      <c r="J16" s="121">
        <f t="shared" si="8"/>
        <v>100.36483429082995</v>
      </c>
      <c r="K16" s="121">
        <f t="shared" si="9"/>
        <v>80.50627290815181</v>
      </c>
      <c r="L16" s="115">
        <f t="shared" si="2"/>
        <v>26.768335741960488</v>
      </c>
      <c r="U16" s="118">
        <f t="shared" si="3"/>
        <v>0.9033101209283791</v>
      </c>
      <c r="V16" s="118">
        <f t="shared" si="4"/>
        <v>1.2</v>
      </c>
      <c r="W16" s="118">
        <f t="shared" si="5"/>
        <v>35</v>
      </c>
    </row>
    <row r="17" spans="1:23" ht="12.75">
      <c r="A17" s="114">
        <v>6</v>
      </c>
      <c r="B17" s="121">
        <f>A17^3*Sheet1!D75*0.5*Sheet1!D7^2*0.25*3.14159*Sheet1!D76*0.01</f>
        <v>170.37031568054402</v>
      </c>
      <c r="C17" s="121">
        <f>(Sheet1!D41^4*Sheet1!D32^2*Sheet1!F25^2*(Sheet1!D5*60*Tabelle1!A17/(3.14159*Sheet1!D7))^2*Sheet1!D13*0.001*Sheet1!D11*2*Sheet1!F35*Sheet1!D43*PI())/(144*10^8*Sheet1!D65)</f>
        <v>9.613025474324377</v>
      </c>
      <c r="D17" s="121">
        <f t="shared" si="6"/>
        <v>160.75729020621964</v>
      </c>
      <c r="E17" s="121">
        <f t="shared" si="10"/>
        <v>24</v>
      </c>
      <c r="F17" s="123">
        <f t="shared" si="11"/>
        <v>5.542153953523844</v>
      </c>
      <c r="G17" s="121">
        <f t="shared" si="0"/>
        <v>27.745595321647524</v>
      </c>
      <c r="H17" s="121">
        <f t="shared" si="1"/>
        <v>6.650584744228612</v>
      </c>
      <c r="I17" s="121">
        <f t="shared" si="7"/>
        <v>34.39618006587614</v>
      </c>
      <c r="J17" s="121">
        <f t="shared" si="8"/>
        <v>126.3611101403435</v>
      </c>
      <c r="K17" s="121">
        <f t="shared" si="9"/>
        <v>78.0721068416509</v>
      </c>
      <c r="L17" s="115">
        <f t="shared" si="2"/>
        <v>25.958975524848896</v>
      </c>
      <c r="U17" s="118">
        <f t="shared" si="3"/>
        <v>0.9033101209283791</v>
      </c>
      <c r="V17" s="118">
        <f t="shared" si="4"/>
        <v>1.2</v>
      </c>
      <c r="W17" s="118">
        <f t="shared" si="5"/>
        <v>35</v>
      </c>
    </row>
    <row r="18" spans="1:23" ht="12.75">
      <c r="A18" s="114">
        <v>6.5</v>
      </c>
      <c r="B18" s="121">
        <f>A18^3*Sheet1!D75*0.5*Sheet1!D7^2*0.25*3.14159*Sheet1!D76*0.01</f>
        <v>216.61087011004352</v>
      </c>
      <c r="C18" s="121">
        <f>(Sheet1!D41^4*Sheet1!D32^2*Sheet1!F25^2*(Sheet1!D5*60*Tabelle1!A18/(3.14159*Sheet1!D7))^2*Sheet1!D13*0.001*Sheet1!D11*2*Sheet1!F35*Sheet1!D43*PI())/(144*10^8*Sheet1!D65)</f>
        <v>11.281953508061251</v>
      </c>
      <c r="D18" s="121">
        <f t="shared" si="6"/>
        <v>205.32891660198226</v>
      </c>
      <c r="E18" s="121">
        <f t="shared" si="10"/>
        <v>24</v>
      </c>
      <c r="F18" s="123">
        <f t="shared" si="11"/>
        <v>6.809915051191356</v>
      </c>
      <c r="G18" s="121">
        <f t="shared" si="0"/>
        <v>41.89095537338971</v>
      </c>
      <c r="H18" s="121">
        <f t="shared" si="1"/>
        <v>8.171898061429626</v>
      </c>
      <c r="I18" s="121">
        <f t="shared" si="7"/>
        <v>50.06285343481933</v>
      </c>
      <c r="J18" s="121">
        <f t="shared" si="8"/>
        <v>155.26606316716294</v>
      </c>
      <c r="K18" s="121">
        <f t="shared" si="9"/>
        <v>75.45233586179776</v>
      </c>
      <c r="L18" s="115">
        <f t="shared" si="2"/>
        <v>25.08790167404776</v>
      </c>
      <c r="U18" s="118">
        <f t="shared" si="3"/>
        <v>0.9033101209283791</v>
      </c>
      <c r="V18" s="118">
        <f t="shared" si="4"/>
        <v>1.2</v>
      </c>
      <c r="W18" s="118">
        <f t="shared" si="5"/>
        <v>35</v>
      </c>
    </row>
    <row r="19" spans="1:23" ht="12.75">
      <c r="A19" s="114">
        <v>7</v>
      </c>
      <c r="B19" s="121">
        <f>A19^3*Sheet1!D75*0.5*Sheet1!D7^2*0.25*3.14159*Sheet1!D76*0.01</f>
        <v>270.541751289012</v>
      </c>
      <c r="C19" s="121">
        <f>(Sheet1!D41^4*Sheet1!D32^2*Sheet1!F25^2*(Sheet1!D5*60*Tabelle1!A19/(3.14159*Sheet1!D7))^2*Sheet1!D13*0.001*Sheet1!D11*2*Sheet1!F35*Sheet1!D43*PI())/(144*10^8*Sheet1!D65)</f>
        <v>13.08439578449707</v>
      </c>
      <c r="D19" s="121">
        <f t="shared" si="6"/>
        <v>257.4573555045149</v>
      </c>
      <c r="E19" s="121">
        <f t="shared" si="10"/>
        <v>24</v>
      </c>
      <c r="F19" s="123">
        <f t="shared" si="11"/>
        <v>8.197907446187674</v>
      </c>
      <c r="G19" s="121">
        <f t="shared" si="0"/>
        <v>60.70757679601074</v>
      </c>
      <c r="H19" s="121">
        <f t="shared" si="1"/>
        <v>9.837488935425208</v>
      </c>
      <c r="I19" s="121">
        <f t="shared" si="7"/>
        <v>70.54506573143595</v>
      </c>
      <c r="J19" s="121">
        <f t="shared" si="8"/>
        <v>186.91228977307895</v>
      </c>
      <c r="K19" s="121">
        <f t="shared" si="9"/>
        <v>72.72436796578657</v>
      </c>
      <c r="L19" s="115">
        <f t="shared" si="2"/>
        <v>24.18085234862403</v>
      </c>
      <c r="U19" s="118">
        <f t="shared" si="3"/>
        <v>0.9033101209283791</v>
      </c>
      <c r="V19" s="118">
        <f t="shared" si="4"/>
        <v>1.2</v>
      </c>
      <c r="W19" s="118">
        <f t="shared" si="5"/>
        <v>35</v>
      </c>
    </row>
    <row r="20" spans="1:23" ht="12.75">
      <c r="A20" s="114">
        <v>7.5</v>
      </c>
      <c r="B20" s="121">
        <f>A20^3*Sheet1!D75*0.5*Sheet1!D7^2*0.25*3.14159*Sheet1!D76*0.01</f>
        <v>332.7545228135625</v>
      </c>
      <c r="C20" s="121">
        <f>(Sheet1!D41^4*Sheet1!D32^2*Sheet1!F25^2*(Sheet1!D5*60*Tabelle1!A20/(3.14159*Sheet1!D7))^2*Sheet1!D13*0.001*Sheet1!D11*2*Sheet1!F35*Sheet1!D43*PI())/(144*10^8*Sheet1!D65)</f>
        <v>15.020352303631842</v>
      </c>
      <c r="D20" s="121">
        <f t="shared" si="6"/>
        <v>317.73417050993066</v>
      </c>
      <c r="E20" s="121">
        <f t="shared" si="10"/>
        <v>24</v>
      </c>
      <c r="F20" s="123">
        <f t="shared" si="11"/>
        <v>9.698596468451901</v>
      </c>
      <c r="G20" s="121">
        <f t="shared" si="0"/>
        <v>84.9678552670852</v>
      </c>
      <c r="H20" s="121">
        <f t="shared" si="1"/>
        <v>11.638315762142282</v>
      </c>
      <c r="I20" s="121">
        <f t="shared" si="7"/>
        <v>96.60617102922748</v>
      </c>
      <c r="J20" s="121">
        <f t="shared" si="8"/>
        <v>221.12799948070318</v>
      </c>
      <c r="K20" s="121">
        <f t="shared" si="9"/>
        <v>69.95136032253457</v>
      </c>
      <c r="L20" s="115">
        <f t="shared" si="2"/>
        <v>23.25882730724273</v>
      </c>
      <c r="U20" s="118">
        <f t="shared" si="3"/>
        <v>0.9033101209283791</v>
      </c>
      <c r="V20" s="118">
        <f t="shared" si="4"/>
        <v>1.2</v>
      </c>
      <c r="W20" s="118">
        <f t="shared" si="5"/>
        <v>35</v>
      </c>
    </row>
    <row r="21" spans="1:23" ht="12.75">
      <c r="A21" s="114">
        <v>8</v>
      </c>
      <c r="B21" s="121">
        <f>A21^3*Sheet1!D75*0.5*Sheet1!D7^2*0.25*3.14159*Sheet1!D76*0.01</f>
        <v>403.84074827980805</v>
      </c>
      <c r="C21" s="121">
        <f>(Sheet1!D41^4*Sheet1!D32^2*Sheet1!F25^2*(Sheet1!D5*60*Tabelle1!A21/(3.14159*Sheet1!D7))^2*Sheet1!D13*0.001*Sheet1!D11*2*Sheet1!F35*Sheet1!D43*PI())/(144*10^8*Sheet1!D65)</f>
        <v>17.089823065465556</v>
      </c>
      <c r="D21" s="121">
        <f t="shared" si="6"/>
        <v>386.7509252143425</v>
      </c>
      <c r="E21" s="121">
        <f t="shared" si="10"/>
        <v>24</v>
      </c>
      <c r="F21" s="123">
        <f t="shared" si="11"/>
        <v>11.304665925916762</v>
      </c>
      <c r="G21" s="121">
        <f t="shared" si="0"/>
        <v>115.43894299234007</v>
      </c>
      <c r="H21" s="121">
        <f t="shared" si="1"/>
        <v>13.565599111100115</v>
      </c>
      <c r="I21" s="121">
        <f t="shared" si="7"/>
        <v>129.0045421034402</v>
      </c>
      <c r="J21" s="121">
        <f t="shared" si="8"/>
        <v>257.7463831109023</v>
      </c>
      <c r="K21" s="121">
        <f t="shared" si="9"/>
        <v>67.18291390298708</v>
      </c>
      <c r="L21" s="115">
        <f t="shared" si="2"/>
        <v>22.33831887274322</v>
      </c>
      <c r="U21" s="118">
        <f t="shared" si="3"/>
        <v>0.9033101209283791</v>
      </c>
      <c r="V21" s="118">
        <f t="shared" si="4"/>
        <v>1.2</v>
      </c>
      <c r="W21" s="118">
        <f t="shared" si="5"/>
        <v>35</v>
      </c>
    </row>
    <row r="22" spans="1:23" ht="12.75">
      <c r="A22" s="114">
        <v>8.5</v>
      </c>
      <c r="B22" s="121">
        <f>A22^3*Sheet1!D75*0.5*Sheet1!D7^2*0.25*3.14159*Sheet1!D76*0.01</f>
        <v>484.3919912838615</v>
      </c>
      <c r="C22" s="121">
        <f>(Sheet1!D41^4*Sheet1!D32^2*Sheet1!F25^2*(Sheet1!D5*60*Tabelle1!A22/(3.14159*Sheet1!D7))^2*Sheet1!D13*0.001*Sheet1!D11*2*Sheet1!F35*Sheet1!D43*PI())/(144*10^8*Sheet1!D65)</f>
        <v>19.29280806999823</v>
      </c>
      <c r="D22" s="121">
        <f t="shared" si="6"/>
        <v>465.0991832138633</v>
      </c>
      <c r="E22" s="121">
        <f t="shared" si="10"/>
        <v>24</v>
      </c>
      <c r="F22" s="123">
        <f t="shared" si="11"/>
        <v>13.009259460570181</v>
      </c>
      <c r="G22" s="121">
        <f t="shared" si="0"/>
        <v>152.8769561601789</v>
      </c>
      <c r="H22" s="121">
        <f t="shared" si="1"/>
        <v>15.611111352684217</v>
      </c>
      <c r="I22" s="121">
        <f t="shared" si="7"/>
        <v>168.48806751286313</v>
      </c>
      <c r="J22" s="121">
        <f t="shared" si="8"/>
        <v>296.61111570100013</v>
      </c>
      <c r="K22" s="121">
        <f t="shared" si="9"/>
        <v>64.45652130336671</v>
      </c>
      <c r="L22" s="115">
        <f t="shared" si="2"/>
        <v>21.431793333369427</v>
      </c>
      <c r="U22" s="118">
        <f t="shared" si="3"/>
        <v>0.9033101209283791</v>
      </c>
      <c r="V22" s="118">
        <f t="shared" si="4"/>
        <v>1.2</v>
      </c>
      <c r="W22" s="118">
        <f t="shared" si="5"/>
        <v>35</v>
      </c>
    </row>
    <row r="23" spans="1:23" ht="12.75">
      <c r="A23" s="114">
        <v>9</v>
      </c>
      <c r="B23" s="121">
        <f>A23^3*Sheet1!D75*0.5*Sheet1!D7^2*0.25*3.14159*Sheet1!D76*0.01</f>
        <v>574.9998154218359</v>
      </c>
      <c r="C23" s="121">
        <f>(Sheet1!D41^4*Sheet1!D32^2*Sheet1!F25^2*(Sheet1!D5*60*Tabelle1!A23/(3.14159*Sheet1!D7))^2*Sheet1!D13*0.001*Sheet1!D11*2*Sheet1!F35*Sheet1!D43*PI())/(144*10^8*Sheet1!D65)</f>
        <v>21.629307317229856</v>
      </c>
      <c r="D23" s="121">
        <f t="shared" si="6"/>
        <v>553.3705081046061</v>
      </c>
      <c r="E23" s="121">
        <f t="shared" si="10"/>
        <v>24</v>
      </c>
      <c r="F23" s="123">
        <f t="shared" si="11"/>
        <v>14.8060985010315</v>
      </c>
      <c r="G23" s="121">
        <f t="shared" si="0"/>
        <v>198.02414407985026</v>
      </c>
      <c r="H23" s="121">
        <f t="shared" si="1"/>
        <v>17.7673182012378</v>
      </c>
      <c r="I23" s="121">
        <f t="shared" si="7"/>
        <v>215.79146228108806</v>
      </c>
      <c r="J23" s="121">
        <f t="shared" si="8"/>
        <v>337.579045823518</v>
      </c>
      <c r="K23" s="121">
        <f t="shared" si="9"/>
        <v>61.79938749442275</v>
      </c>
      <c r="L23" s="115">
        <f t="shared" si="2"/>
        <v>20.548296341895554</v>
      </c>
      <c r="U23" s="118">
        <f t="shared" si="3"/>
        <v>0.9033101209283791</v>
      </c>
      <c r="V23" s="118">
        <f t="shared" si="4"/>
        <v>1.2</v>
      </c>
      <c r="W23" s="118">
        <f t="shared" si="5"/>
        <v>35</v>
      </c>
    </row>
    <row r="24" spans="1:23" ht="12.75">
      <c r="A24" s="114">
        <v>9.5</v>
      </c>
      <c r="B24" s="121">
        <f>A24^3*Sheet1!D75*0.5*Sheet1!D7^2*0.25*3.14159*Sheet1!D76*0.01</f>
        <v>676.2557842898447</v>
      </c>
      <c r="C24" s="121">
        <f>(Sheet1!D41^4*Sheet1!D32^2*Sheet1!F25^2*(Sheet1!D5*60*Tabelle1!A24/(3.14159*Sheet1!D7))^2*Sheet1!D13*0.001*Sheet1!D11*2*Sheet1!F35*Sheet1!D43*PI())/(144*10^8*Sheet1!D65)</f>
        <v>24.09932080716042</v>
      </c>
      <c r="D24" s="121">
        <f t="shared" si="6"/>
        <v>652.1564634826842</v>
      </c>
      <c r="E24" s="121">
        <f t="shared" si="10"/>
        <v>24</v>
      </c>
      <c r="F24" s="123">
        <f t="shared" si="11"/>
        <v>16.689518376674805</v>
      </c>
      <c r="G24" s="121">
        <f t="shared" si="0"/>
        <v>251.6080224424892</v>
      </c>
      <c r="H24" s="121">
        <f t="shared" si="1"/>
        <v>20.027422052009765</v>
      </c>
      <c r="I24" s="121">
        <f t="shared" si="7"/>
        <v>271.6354444944989</v>
      </c>
      <c r="J24" s="121">
        <f t="shared" si="8"/>
        <v>380.5210189881853</v>
      </c>
      <c r="K24" s="121">
        <f t="shared" si="9"/>
        <v>59.230316449096634</v>
      </c>
      <c r="L24" s="115">
        <f t="shared" si="2"/>
        <v>19.69408021932462</v>
      </c>
      <c r="U24" s="118">
        <f t="shared" si="3"/>
        <v>0.9033101209283791</v>
      </c>
      <c r="V24" s="118">
        <f t="shared" si="4"/>
        <v>1.2</v>
      </c>
      <c r="W24" s="118">
        <f t="shared" si="5"/>
        <v>35</v>
      </c>
    </row>
    <row r="25" spans="1:23" ht="12.75">
      <c r="A25" s="114">
        <v>10</v>
      </c>
      <c r="B25" s="121">
        <f>A25^3*Sheet1!D75*0.5*Sheet1!D7^2*0.25*3.14159*Sheet1!D76*0.01</f>
        <v>788.751461484</v>
      </c>
      <c r="C25" s="121">
        <f>(Sheet1!D41^4*Sheet1!D32^2*Sheet1!F25^2*(Sheet1!D5*60*Tabelle1!A25/(3.14159*Sheet1!D7))^2*Sheet1!D13*0.001*Sheet1!D11*2*Sheet1!F35*Sheet1!D43*PI())/(144*10^8*Sheet1!D65)</f>
        <v>26.702848539789947</v>
      </c>
      <c r="D25" s="121">
        <f t="shared" si="6"/>
        <v>762.04861294421</v>
      </c>
      <c r="E25" s="121">
        <f t="shared" si="10"/>
        <v>24</v>
      </c>
      <c r="F25" s="123">
        <f t="shared" si="11"/>
        <v>18.654454758790056</v>
      </c>
      <c r="G25" s="121">
        <f t="shared" si="0"/>
        <v>314.3416987332488</v>
      </c>
      <c r="H25" s="121">
        <f t="shared" si="1"/>
        <v>22.385345710548066</v>
      </c>
      <c r="I25" s="121">
        <f t="shared" si="7"/>
        <v>336.72704444379684</v>
      </c>
      <c r="J25" s="121">
        <f t="shared" si="8"/>
        <v>425.3215685004132</v>
      </c>
      <c r="K25" s="121">
        <f t="shared" si="9"/>
        <v>56.76146873549004</v>
      </c>
      <c r="L25" s="115">
        <f t="shared" si="2"/>
        <v>18.873188354550432</v>
      </c>
      <c r="U25" s="118">
        <f t="shared" si="3"/>
        <v>0.9033101209283791</v>
      </c>
      <c r="V25" s="118">
        <f t="shared" si="4"/>
        <v>1.2</v>
      </c>
      <c r="W25" s="118">
        <f t="shared" si="5"/>
        <v>35</v>
      </c>
    </row>
    <row r="26" spans="1:23" ht="12.75">
      <c r="A26" s="114">
        <v>10.5</v>
      </c>
      <c r="B26" s="121">
        <f>A26^3*Sheet1!D75*0.5*Sheet1!D7^2*0.25*3.14159*Sheet1!D76*0.01</f>
        <v>913.0784106004155</v>
      </c>
      <c r="C26" s="121">
        <f>(Sheet1!D41^4*Sheet1!D32^2*Sheet1!F25^2*(Sheet1!D5*60*Tabelle1!A26/(3.14159*Sheet1!D7))^2*Sheet1!D13*0.001*Sheet1!D11*2*Sheet1!F35*Sheet1!D43*PI())/(144*10^8*Sheet1!D65)</f>
        <v>29.43989051511841</v>
      </c>
      <c r="D26" s="121">
        <f t="shared" si="6"/>
        <v>883.638520085297</v>
      </c>
      <c r="E26" s="121">
        <f t="shared" si="10"/>
        <v>24</v>
      </c>
      <c r="F26" s="123">
        <f t="shared" si="11"/>
        <v>20.696402997240725</v>
      </c>
      <c r="G26" s="121">
        <f t="shared" si="0"/>
        <v>386.92484815152</v>
      </c>
      <c r="H26" s="121">
        <f t="shared" si="1"/>
        <v>24.83568359668887</v>
      </c>
      <c r="I26" s="121">
        <f t="shared" si="7"/>
        <v>411.76053174820885</v>
      </c>
      <c r="J26" s="121">
        <f t="shared" si="8"/>
        <v>471.8779883370882</v>
      </c>
      <c r="K26" s="121">
        <f t="shared" si="9"/>
        <v>54.39989229480873</v>
      </c>
      <c r="L26" s="115">
        <f t="shared" si="2"/>
        <v>18.087964188023886</v>
      </c>
      <c r="U26" s="118">
        <f t="shared" si="3"/>
        <v>0.9033101209283791</v>
      </c>
      <c r="V26" s="118">
        <f t="shared" si="4"/>
        <v>1.2</v>
      </c>
      <c r="W26" s="118">
        <f t="shared" si="5"/>
        <v>35</v>
      </c>
    </row>
    <row r="27" spans="1:23" ht="12.75">
      <c r="A27" s="114">
        <v>11</v>
      </c>
      <c r="B27" s="121">
        <f>A27^3*Sheet1!D75*0.5*Sheet1!D7^2*0.25*3.14159*Sheet1!D76*0.01</f>
        <v>1049.828195235204</v>
      </c>
      <c r="C27" s="121">
        <f>(Sheet1!D41^4*Sheet1!D32^2*Sheet1!F25^2*(Sheet1!D5*60*Tabelle1!A27/(3.14159*Sheet1!D7))^2*Sheet1!D13*0.001*Sheet1!D11*2*Sheet1!F35*Sheet1!D43*PI())/(144*10^8*Sheet1!D65)</f>
        <v>32.310446733145824</v>
      </c>
      <c r="D27" s="121">
        <f t="shared" si="6"/>
        <v>1017.5177485020582</v>
      </c>
      <c r="E27" s="121">
        <f t="shared" si="10"/>
        <v>24</v>
      </c>
      <c r="F27" s="123">
        <f t="shared" si="11"/>
        <v>22.811365053884547</v>
      </c>
      <c r="G27" s="121">
        <f t="shared" si="0"/>
        <v>470.04498720882896</v>
      </c>
      <c r="H27" s="121">
        <f t="shared" si="1"/>
        <v>27.373638064661456</v>
      </c>
      <c r="I27" s="121">
        <f t="shared" si="7"/>
        <v>497.4186252734904</v>
      </c>
      <c r="J27" s="121">
        <f t="shared" si="8"/>
        <v>520.0991232285678</v>
      </c>
      <c r="K27" s="121">
        <f t="shared" si="9"/>
        <v>52.14879575324923</v>
      </c>
      <c r="L27" s="115">
        <f t="shared" si="2"/>
        <v>17.339474587955376</v>
      </c>
      <c r="U27" s="118">
        <f t="shared" si="3"/>
        <v>0.9033101209283791</v>
      </c>
      <c r="V27" s="118">
        <f t="shared" si="4"/>
        <v>1.2</v>
      </c>
      <c r="W27" s="118">
        <f t="shared" si="5"/>
        <v>35</v>
      </c>
    </row>
    <row r="28" spans="1:23" ht="12.75">
      <c r="A28" s="114">
        <v>11.5</v>
      </c>
      <c r="B28" s="121">
        <f>A28^3*Sheet1!D75*0.5*Sheet1!D7^2*0.25*3.14159*Sheet1!D76*0.01</f>
        <v>1199.5923789844785</v>
      </c>
      <c r="C28" s="121">
        <f>(Sheet1!D41^4*Sheet1!D32^2*Sheet1!F25^2*(Sheet1!D5*60*Tabelle1!A28/(3.14159*Sheet1!D7))^2*Sheet1!D13*0.001*Sheet1!D11*2*Sheet1!F35*Sheet1!D43*PI())/(144*10^8*Sheet1!D65)</f>
        <v>35.31451719387219</v>
      </c>
      <c r="D28" s="121">
        <f t="shared" si="6"/>
        <v>1164.2778617906063</v>
      </c>
      <c r="E28" s="121">
        <f t="shared" si="10"/>
        <v>24</v>
      </c>
      <c r="F28" s="123">
        <f t="shared" si="11"/>
        <v>24.995792992867877</v>
      </c>
      <c r="G28" s="121">
        <f t="shared" si="0"/>
        <v>564.3788299617775</v>
      </c>
      <c r="H28" s="121">
        <f t="shared" si="1"/>
        <v>29.99495159144145</v>
      </c>
      <c r="I28" s="121">
        <f t="shared" si="7"/>
        <v>594.3737815532189</v>
      </c>
      <c r="J28" s="121">
        <f t="shared" si="8"/>
        <v>569.9040802373873</v>
      </c>
      <c r="K28" s="121">
        <f t="shared" si="9"/>
        <v>50.00857310686458</v>
      </c>
      <c r="L28" s="115">
        <f t="shared" si="2"/>
        <v>16.627850558032467</v>
      </c>
      <c r="U28" s="118">
        <f t="shared" si="3"/>
        <v>0.9033101209283791</v>
      </c>
      <c r="V28" s="118">
        <f t="shared" si="4"/>
        <v>1.2</v>
      </c>
      <c r="W28" s="118">
        <f t="shared" si="5"/>
        <v>35</v>
      </c>
    </row>
    <row r="29" spans="1:23" ht="12.75">
      <c r="A29" s="114">
        <v>12</v>
      </c>
      <c r="B29" s="121">
        <f>A29^3*Sheet1!D75*0.5*Sheet1!D7^2*0.25*3.14159*Sheet1!D76*0.01</f>
        <v>1362.9625254443522</v>
      </c>
      <c r="C29" s="121">
        <f>(Sheet1!D41^4*Sheet1!D32^2*Sheet1!F25^2*(Sheet1!D5*60*Tabelle1!A29/(3.14159*Sheet1!D7))^2*Sheet1!D13*0.001*Sheet1!D11*2*Sheet1!F35*Sheet1!D43*PI())/(144*10^8*Sheet1!D65)</f>
        <v>38.45210189729751</v>
      </c>
      <c r="D29" s="121">
        <f t="shared" si="6"/>
        <v>1324.5104235470546</v>
      </c>
      <c r="E29" s="121">
        <f t="shared" si="10"/>
        <v>24</v>
      </c>
      <c r="F29" s="123">
        <f t="shared" si="11"/>
        <v>27.246534103729218</v>
      </c>
      <c r="G29" s="121">
        <f t="shared" si="0"/>
        <v>670.5936050575535</v>
      </c>
      <c r="H29" s="121">
        <f t="shared" si="1"/>
        <v>32.69584092447506</v>
      </c>
      <c r="I29" s="121">
        <f t="shared" si="7"/>
        <v>703.2894459820286</v>
      </c>
      <c r="J29" s="121">
        <f t="shared" si="8"/>
        <v>621.220977565026</v>
      </c>
      <c r="K29" s="121">
        <f t="shared" si="9"/>
        <v>47.97760806199067</v>
      </c>
      <c r="L29" s="115">
        <f t="shared" si="2"/>
        <v>15.952554680611897</v>
      </c>
      <c r="U29" s="118">
        <f t="shared" si="3"/>
        <v>0.9033101209283791</v>
      </c>
      <c r="V29" s="118">
        <f t="shared" si="4"/>
        <v>1.2</v>
      </c>
      <c r="W29" s="118">
        <f t="shared" si="5"/>
        <v>35</v>
      </c>
    </row>
    <row r="30" spans="2:23" ht="12.7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U30" s="118">
        <f t="shared" si="3"/>
        <v>0.9033101209283791</v>
      </c>
      <c r="V30" s="118">
        <f t="shared" si="4"/>
        <v>1.2</v>
      </c>
      <c r="W30" s="118">
        <f t="shared" si="5"/>
        <v>35</v>
      </c>
    </row>
    <row r="31" spans="1:23" ht="12.75">
      <c r="A31" s="1"/>
      <c r="C31" s="1"/>
      <c r="U31" s="118">
        <f>U30</f>
        <v>0.9033101209283791</v>
      </c>
      <c r="V31" s="118">
        <f t="shared" si="4"/>
        <v>1.2</v>
      </c>
      <c r="W31" s="118">
        <f t="shared" si="5"/>
        <v>35</v>
      </c>
    </row>
    <row r="32" spans="1:3" ht="12.75">
      <c r="A32" s="1"/>
      <c r="C32" s="1"/>
    </row>
    <row r="33" spans="1:3" ht="12.75">
      <c r="A33" s="1"/>
      <c r="C33" s="1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Dani</cp:lastModifiedBy>
  <dcterms:created xsi:type="dcterms:W3CDTF">2012-08-05T19:21:51Z</dcterms:created>
  <dcterms:modified xsi:type="dcterms:W3CDTF">2013-10-03T21:18:45Z</dcterms:modified>
  <cp:category/>
  <cp:version/>
  <cp:contentType/>
  <cp:contentStatus/>
</cp:coreProperties>
</file>