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8445" activeTab="1"/>
  </bookViews>
  <sheets>
    <sheet name="Übersicht" sheetId="1" r:id="rId1"/>
    <sheet name="Blattform" sheetId="2" r:id="rId2"/>
    <sheet name="Anlaufmoment" sheetId="3" r:id="rId3"/>
    <sheet name="Flächendichte" sheetId="4" r:id="rId4"/>
  </sheets>
  <definedNames/>
  <calcPr fullCalcOnLoad="1"/>
</workbook>
</file>

<file path=xl/comments2.xml><?xml version="1.0" encoding="utf-8"?>
<comments xmlns="http://schemas.openxmlformats.org/spreadsheetml/2006/main">
  <authors>
    <author>Georgi</author>
  </authors>
  <commentList>
    <comment ref="B26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Bei Winddreieck nicht 2/3v</t>
        </r>
      </text>
    </comment>
    <comment ref="C5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Winkel Gamma</t>
        </r>
      </text>
    </comment>
    <comment ref="B5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Winkel Beta</t>
        </r>
      </text>
    </comment>
  </commentList>
</comments>
</file>

<file path=xl/sharedStrings.xml><?xml version="1.0" encoding="utf-8"?>
<sst xmlns="http://schemas.openxmlformats.org/spreadsheetml/2006/main" count="123" uniqueCount="108">
  <si>
    <t>Eingaben</t>
  </si>
  <si>
    <t>Luftdichte</t>
  </si>
  <si>
    <t>kg/m³</t>
  </si>
  <si>
    <t>Schnellaufzahl</t>
  </si>
  <si>
    <t>r</t>
  </si>
  <si>
    <t>l</t>
  </si>
  <si>
    <t>-</t>
  </si>
  <si>
    <t>Radius Repeller</t>
  </si>
  <si>
    <t>m</t>
  </si>
  <si>
    <t>Durchmesser Rohr</t>
  </si>
  <si>
    <t>mm</t>
  </si>
  <si>
    <t>Blattanzahl</t>
  </si>
  <si>
    <t>n_Bl</t>
  </si>
  <si>
    <t>Soll-Anstellwinkel</t>
  </si>
  <si>
    <t>°</t>
  </si>
  <si>
    <t>Wirk.grad Repeller</t>
  </si>
  <si>
    <t>%</t>
  </si>
  <si>
    <t>Wirk.grad Generator</t>
  </si>
  <si>
    <t>Windgeschwindigkeit</t>
  </si>
  <si>
    <t>v_W</t>
  </si>
  <si>
    <t>m/s</t>
  </si>
  <si>
    <t>Ergebnisse</t>
  </si>
  <si>
    <t>m²</t>
  </si>
  <si>
    <t>Anlaufmoment</t>
  </si>
  <si>
    <t>A_Rep</t>
  </si>
  <si>
    <t>Repellerfläche</t>
  </si>
  <si>
    <t>M_Anl</t>
  </si>
  <si>
    <t>Nm</t>
  </si>
  <si>
    <t>Drehzahl bei SLZ</t>
  </si>
  <si>
    <t>U/min</t>
  </si>
  <si>
    <t>n_SLZ</t>
  </si>
  <si>
    <t>Mech. Leistung</t>
  </si>
  <si>
    <t>P_mech</t>
  </si>
  <si>
    <t>W</t>
  </si>
  <si>
    <t>Elektr. Leistung</t>
  </si>
  <si>
    <t>P_elekr</t>
  </si>
  <si>
    <t>Anlaufmoment:</t>
  </si>
  <si>
    <t>nötiger Einstellwinkel</t>
  </si>
  <si>
    <t>Winkel zur Hinterkante</t>
  </si>
  <si>
    <t>Winkel zur Vorderkante</t>
  </si>
  <si>
    <t>Gesamtwinkel</t>
  </si>
  <si>
    <t>Profiltiefe</t>
  </si>
  <si>
    <t>Profilform (Zuschnitt)</t>
  </si>
  <si>
    <t>lam</t>
  </si>
  <si>
    <t>alp_un</t>
  </si>
  <si>
    <t>eps_eff</t>
  </si>
  <si>
    <t>eps_0</t>
  </si>
  <si>
    <t>eps_1</t>
  </si>
  <si>
    <t>eps</t>
  </si>
  <si>
    <t>c</t>
  </si>
  <si>
    <t>Radius [mm]</t>
  </si>
  <si>
    <t>R_Rep</t>
  </si>
  <si>
    <r>
      <t>a</t>
    </r>
    <r>
      <rPr>
        <sz val="10"/>
        <rFont val="Arial"/>
        <family val="0"/>
      </rPr>
      <t>_Soll</t>
    </r>
  </si>
  <si>
    <r>
      <t>h</t>
    </r>
    <r>
      <rPr>
        <sz val="10"/>
        <rFont val="Arial"/>
        <family val="0"/>
      </rPr>
      <t>_Rep</t>
    </r>
  </si>
  <si>
    <r>
      <t>h</t>
    </r>
    <r>
      <rPr>
        <sz val="10"/>
        <rFont val="Arial"/>
        <family val="0"/>
      </rPr>
      <t>_Gen</t>
    </r>
  </si>
  <si>
    <t>r/R_Rep</t>
  </si>
  <si>
    <t>Auftriebsbeiwert über Formel</t>
  </si>
  <si>
    <t>alpha</t>
  </si>
  <si>
    <t>Ca</t>
  </si>
  <si>
    <t>p_0</t>
  </si>
  <si>
    <t>p_1</t>
  </si>
  <si>
    <t>p_2</t>
  </si>
  <si>
    <t>p_3</t>
  </si>
  <si>
    <t>p_4</t>
  </si>
  <si>
    <t>Radius [m]</t>
  </si>
  <si>
    <t>dr [m]</t>
  </si>
  <si>
    <t>Wirkradius [m]</t>
  </si>
  <si>
    <t>Wirkfläche [m²]</t>
  </si>
  <si>
    <t>alpha [°]</t>
  </si>
  <si>
    <t>ca(alpha)</t>
  </si>
  <si>
    <t>dF [N]</t>
  </si>
  <si>
    <t>dM [Nm]</t>
  </si>
  <si>
    <t>Drehzahl bei Ausleg.SLZ</t>
  </si>
  <si>
    <t>Std-Abw.:</t>
  </si>
  <si>
    <t>p_5</t>
  </si>
  <si>
    <t>p_6</t>
  </si>
  <si>
    <t>p_7</t>
  </si>
  <si>
    <t>Sigma</t>
  </si>
  <si>
    <t>Lambda</t>
  </si>
  <si>
    <t>Flächendichte Polynom</t>
  </si>
  <si>
    <t>Sollte nicht verändert werden!</t>
  </si>
  <si>
    <t>Angleichen der nötigen Rotorfläche über Änderung der Profiltiefe</t>
  </si>
  <si>
    <t>A_Opt</t>
  </si>
  <si>
    <t xml:space="preserve">Sigma bei Lambda = </t>
  </si>
  <si>
    <t>optimale Blattfläche</t>
  </si>
  <si>
    <t>optimale Flächendichte</t>
  </si>
  <si>
    <t>Gesamtfläche</t>
  </si>
  <si>
    <t>aktuelle Blattfläche</t>
  </si>
  <si>
    <t>A_Akt</t>
  </si>
  <si>
    <t>Blattform und Zuschnitt</t>
  </si>
  <si>
    <t>Hinterkante [mm]</t>
  </si>
  <si>
    <t>Vorderkante [mm]</t>
  </si>
  <si>
    <t>Nicht nutzbarer Bereich</t>
  </si>
  <si>
    <t>Flächenverhältnis</t>
  </si>
  <si>
    <t>akt/opt</t>
  </si>
  <si>
    <t>Zu hohe Flächendichte</t>
  </si>
  <si>
    <t>Zu geringe Flächendichte</t>
  </si>
  <si>
    <t>Optimum</t>
  </si>
  <si>
    <t>RoWi-Tool</t>
  </si>
  <si>
    <t>Blattanzahl erhöhen</t>
  </si>
  <si>
    <t>Rohrdurchmesser verringern</t>
  </si>
  <si>
    <t>SLZ erhöhen</t>
  </si>
  <si>
    <t>Blattanzahl verringern</t>
  </si>
  <si>
    <t>Rohrdurchmesser erhöhen</t>
  </si>
  <si>
    <t>SLZ verringern</t>
  </si>
  <si>
    <t>sollte manuell auf geeignete Werte gesetzt werden</t>
  </si>
  <si>
    <t>D_Rohr</t>
  </si>
  <si>
    <t>Tool zur Berechnung von Zuschnittschablonen für Rohrwindräder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</si>
</sst>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5"/>
      <name val="Arial"/>
      <family val="0"/>
    </font>
    <font>
      <sz val="10.25"/>
      <name val="Arial"/>
      <family val="2"/>
    </font>
    <font>
      <b/>
      <sz val="8.5"/>
      <name val="Arial"/>
      <family val="0"/>
    </font>
    <font>
      <b/>
      <sz val="10.5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0"/>
      <color indexed="9"/>
      <name val="Arial"/>
      <family val="0"/>
    </font>
    <font>
      <sz val="1"/>
      <name val="Arial"/>
      <family val="0"/>
    </font>
    <font>
      <sz val="1.75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68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9" fontId="3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0" borderId="27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8" fillId="2" borderId="19" xfId="0" applyFont="1" applyFill="1" applyBorder="1" applyAlignment="1" applyProtection="1">
      <alignment/>
      <protection locked="0"/>
    </xf>
    <xf numFmtId="0" fontId="18" fillId="2" borderId="18" xfId="0" applyFont="1" applyFill="1" applyBorder="1" applyAlignment="1" applyProtection="1">
      <alignment/>
      <protection locked="0"/>
    </xf>
    <xf numFmtId="0" fontId="18" fillId="2" borderId="22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7" fillId="4" borderId="27" xfId="0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169" fontId="0" fillId="4" borderId="18" xfId="0" applyNumberFormat="1" applyFill="1" applyBorder="1" applyAlignment="1">
      <alignment horizontal="center"/>
    </xf>
    <xf numFmtId="169" fontId="0" fillId="4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69" fontId="0" fillId="4" borderId="28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>
      <alignment/>
    </xf>
    <xf numFmtId="0" fontId="0" fillId="0" borderId="13" xfId="0" applyBorder="1" applyAlignment="1">
      <alignment/>
    </xf>
    <xf numFmtId="0" fontId="0" fillId="4" borderId="3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 horizontal="right"/>
    </xf>
    <xf numFmtId="0" fontId="0" fillId="4" borderId="32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 horizontal="right"/>
    </xf>
    <xf numFmtId="0" fontId="0" fillId="4" borderId="3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right"/>
    </xf>
    <xf numFmtId="2" fontId="18" fillId="4" borderId="19" xfId="0" applyNumberFormat="1" applyFont="1" applyFill="1" applyBorder="1" applyAlignment="1">
      <alignment/>
    </xf>
    <xf numFmtId="2" fontId="18" fillId="4" borderId="18" xfId="0" applyNumberFormat="1" applyFont="1" applyFill="1" applyBorder="1" applyAlignment="1">
      <alignment/>
    </xf>
    <xf numFmtId="167" fontId="18" fillId="4" borderId="18" xfId="0" applyNumberFormat="1" applyFont="1" applyFill="1" applyBorder="1" applyAlignment="1">
      <alignment/>
    </xf>
    <xf numFmtId="169" fontId="18" fillId="4" borderId="18" xfId="0" applyNumberFormat="1" applyFont="1" applyFill="1" applyBorder="1" applyAlignment="1">
      <alignment/>
    </xf>
    <xf numFmtId="167" fontId="18" fillId="4" borderId="22" xfId="0" applyNumberFormat="1" applyFont="1" applyFill="1" applyBorder="1" applyAlignment="1">
      <alignment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Blattform (Zuschnitt)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95"/>
          <c:w val="0.95375"/>
          <c:h val="0.9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Blattform!$I$5</c:f>
              <c:strCache>
                <c:ptCount val="1"/>
                <c:pt idx="0">
                  <c:v>Hinterkante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Blattform!$H$10:$H$26</c:f>
              <c:numCache>
                <c:ptCount val="17"/>
                <c:pt idx="0">
                  <c:v>139.99999999999997</c:v>
                </c:pt>
                <c:pt idx="1">
                  <c:v>175</c:v>
                </c:pt>
                <c:pt idx="2">
                  <c:v>210</c:v>
                </c:pt>
                <c:pt idx="3">
                  <c:v>244.99999999999997</c:v>
                </c:pt>
                <c:pt idx="4">
                  <c:v>279.99999999999994</c:v>
                </c:pt>
                <c:pt idx="5">
                  <c:v>315</c:v>
                </c:pt>
                <c:pt idx="6">
                  <c:v>350</c:v>
                </c:pt>
                <c:pt idx="7">
                  <c:v>385</c:v>
                </c:pt>
                <c:pt idx="8">
                  <c:v>420</c:v>
                </c:pt>
                <c:pt idx="9">
                  <c:v>454.99999999999994</c:v>
                </c:pt>
                <c:pt idx="10">
                  <c:v>489.99999999999994</c:v>
                </c:pt>
                <c:pt idx="11">
                  <c:v>524.9999999999999</c:v>
                </c:pt>
                <c:pt idx="12">
                  <c:v>559.9999999999999</c:v>
                </c:pt>
                <c:pt idx="13">
                  <c:v>595</c:v>
                </c:pt>
                <c:pt idx="14">
                  <c:v>630</c:v>
                </c:pt>
                <c:pt idx="15">
                  <c:v>664.9999999999999</c:v>
                </c:pt>
                <c:pt idx="16">
                  <c:v>700</c:v>
                </c:pt>
              </c:numCache>
            </c:numRef>
          </c:xVal>
          <c:yVal>
            <c:numRef>
              <c:f>Blattform!$I$10:$I$26</c:f>
              <c:numCache>
                <c:ptCount val="17"/>
                <c:pt idx="0">
                  <c:v>-10.471975511965978</c:v>
                </c:pt>
                <c:pt idx="1">
                  <c:v>-10.471975511965978</c:v>
                </c:pt>
                <c:pt idx="2">
                  <c:v>-10.471975511965978</c:v>
                </c:pt>
                <c:pt idx="3">
                  <c:v>-10.471975511965978</c:v>
                </c:pt>
                <c:pt idx="4">
                  <c:v>-10.471975511965978</c:v>
                </c:pt>
                <c:pt idx="5">
                  <c:v>-10.471975511965978</c:v>
                </c:pt>
                <c:pt idx="6">
                  <c:v>-10.471975511965978</c:v>
                </c:pt>
                <c:pt idx="7">
                  <c:v>-10.471975511965978</c:v>
                </c:pt>
                <c:pt idx="8">
                  <c:v>-10.471975511965978</c:v>
                </c:pt>
                <c:pt idx="9">
                  <c:v>-10.471975511965978</c:v>
                </c:pt>
                <c:pt idx="10">
                  <c:v>-10.471975511965978</c:v>
                </c:pt>
                <c:pt idx="11">
                  <c:v>-10.471975511965978</c:v>
                </c:pt>
                <c:pt idx="12">
                  <c:v>-10.471975511965978</c:v>
                </c:pt>
                <c:pt idx="13">
                  <c:v>-10.471975511965978</c:v>
                </c:pt>
                <c:pt idx="14">
                  <c:v>-10.471975511965978</c:v>
                </c:pt>
                <c:pt idx="15">
                  <c:v>-10.471975511965978</c:v>
                </c:pt>
                <c:pt idx="16">
                  <c:v>-10.471975511965978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Blattform!$J$5</c:f>
              <c:strCache>
                <c:ptCount val="1"/>
                <c:pt idx="0">
                  <c:v>Vorderkante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Blattform!$H$10:$H$27</c:f>
              <c:numCache>
                <c:ptCount val="18"/>
                <c:pt idx="0">
                  <c:v>139.99999999999997</c:v>
                </c:pt>
                <c:pt idx="1">
                  <c:v>175</c:v>
                </c:pt>
                <c:pt idx="2">
                  <c:v>210</c:v>
                </c:pt>
                <c:pt idx="3">
                  <c:v>244.99999999999997</c:v>
                </c:pt>
                <c:pt idx="4">
                  <c:v>279.99999999999994</c:v>
                </c:pt>
                <c:pt idx="5">
                  <c:v>315</c:v>
                </c:pt>
                <c:pt idx="6">
                  <c:v>350</c:v>
                </c:pt>
                <c:pt idx="7">
                  <c:v>385</c:v>
                </c:pt>
                <c:pt idx="8">
                  <c:v>420</c:v>
                </c:pt>
                <c:pt idx="9">
                  <c:v>454.99999999999994</c:v>
                </c:pt>
                <c:pt idx="10">
                  <c:v>489.99999999999994</c:v>
                </c:pt>
                <c:pt idx="11">
                  <c:v>524.9999999999999</c:v>
                </c:pt>
                <c:pt idx="12">
                  <c:v>559.9999999999999</c:v>
                </c:pt>
                <c:pt idx="13">
                  <c:v>595</c:v>
                </c:pt>
                <c:pt idx="14">
                  <c:v>630</c:v>
                </c:pt>
                <c:pt idx="15">
                  <c:v>664.9999999999999</c:v>
                </c:pt>
                <c:pt idx="16">
                  <c:v>700</c:v>
                </c:pt>
                <c:pt idx="17">
                  <c:v>700</c:v>
                </c:pt>
              </c:numCache>
            </c:numRef>
          </c:xVal>
          <c:yVal>
            <c:numRef>
              <c:f>Blattform!$J$10:$J$27</c:f>
              <c:numCache>
                <c:ptCount val="18"/>
                <c:pt idx="0">
                  <c:v>139.62634015954634</c:v>
                </c:pt>
                <c:pt idx="1">
                  <c:v>117.49489592476723</c:v>
                </c:pt>
                <c:pt idx="2">
                  <c:v>100.1472281895702</c:v>
                </c:pt>
                <c:pt idx="3">
                  <c:v>86.3759303293613</c:v>
                </c:pt>
                <c:pt idx="4">
                  <c:v>75.27622928021792</c:v>
                </c:pt>
                <c:pt idx="5">
                  <c:v>66.19157339590252</c:v>
                </c:pt>
                <c:pt idx="6">
                  <c:v>58.64798290252968</c:v>
                </c:pt>
                <c:pt idx="7">
                  <c:v>52.30090819683811</c:v>
                </c:pt>
                <c:pt idx="8">
                  <c:v>46.896818359385136</c:v>
                </c:pt>
                <c:pt idx="9">
                  <c:v>42.24649379729255</c:v>
                </c:pt>
                <c:pt idx="10">
                  <c:v>38.20663928107898</c:v>
                </c:pt>
                <c:pt idx="11">
                  <c:v>34.66718582952489</c:v>
                </c:pt>
                <c:pt idx="12">
                  <c:v>31.542440105429527</c:v>
                </c:pt>
                <c:pt idx="13">
                  <c:v>28.764840919236118</c:v>
                </c:pt>
                <c:pt idx="14">
                  <c:v>26.2804966548451</c:v>
                </c:pt>
                <c:pt idx="15">
                  <c:v>24.045952767097234</c:v>
                </c:pt>
                <c:pt idx="16">
                  <c:v>22.025819450032856</c:v>
                </c:pt>
                <c:pt idx="17">
                  <c:v>-10.471975511965978</c:v>
                </c:pt>
              </c:numCache>
            </c:numRef>
          </c:yVal>
          <c:smooth val="1"/>
        </c:ser>
        <c:axId val="56153090"/>
        <c:axId val="35615763"/>
      </c:scatterChart>
      <c:valAx>
        <c:axId val="561530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Radius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615763"/>
        <c:crosses val="autoZero"/>
        <c:crossBetween val="midCat"/>
        <c:dispUnits/>
      </c:val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Blattiefe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53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"/>
          <c:w val="0.84825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Übersicht!$Q$4:$Q$5</c:f>
              <c:numCache/>
            </c:numRef>
          </c:xVal>
          <c:yVal>
            <c:numRef>
              <c:f>Übersicht!$R$4:$R$5</c:f>
              <c:numCache/>
            </c:numRef>
          </c:yVal>
          <c:smooth val="0"/>
        </c:ser>
        <c:axId val="52106412"/>
        <c:axId val="66304525"/>
      </c:scatterChart>
      <c:valAx>
        <c:axId val="52106412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66304525"/>
        <c:crosses val="autoZero"/>
        <c:crossBetween val="midCat"/>
        <c:dispUnits/>
      </c:valAx>
      <c:valAx>
        <c:axId val="66304525"/>
        <c:scaling>
          <c:orientation val="minMax"/>
          <c:max val="1.5"/>
          <c:min val="0.5"/>
        </c:scaling>
        <c:axPos val="l"/>
        <c:delete val="1"/>
        <c:majorTickMark val="out"/>
        <c:minorTickMark val="none"/>
        <c:tickLblPos val="nextTo"/>
        <c:crossAx val="52106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68"/>
          <c:w val="0.9452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Anlaufmoment!$N$1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Anlaufmoment!$M$2:$M$11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Anlaufmoment!$N$2:$N$11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9869814"/>
        <c:axId val="1957415"/>
      </c:scatterChart>
      <c:valAx>
        <c:axId val="5986981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Alpha /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crossBetween val="midCat"/>
        <c:dispUnits/>
        <c:majorUnit val="30"/>
      </c:valAx>
      <c:valAx>
        <c:axId val="19574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 / -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Flächendichte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4"/>
          <c:w val="0.941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Flächendichte!$B$2</c:f>
              <c:strCache>
                <c:ptCount val="1"/>
                <c:pt idx="0">
                  <c:v>Sigma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Flächendichte!$A$3:$A$16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Flächendichte!$B$3:$B$16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Aktuell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Flächendichte!$C$22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Flächendichte!$D$22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7616736"/>
        <c:axId val="24332897"/>
      </c:scatterChart>
      <c:val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SLZ Lambda / 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32897"/>
        <c:crosses val="autoZero"/>
        <c:crossBetween val="midCat"/>
        <c:dispUnits/>
      </c:val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Flächendichte /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15</xdr:row>
      <xdr:rowOff>0</xdr:rowOff>
    </xdr:from>
    <xdr:to>
      <xdr:col>11</xdr:col>
      <xdr:colOff>238125</xdr:colOff>
      <xdr:row>29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8067675" y="2524125"/>
          <a:ext cx="552450" cy="2419350"/>
          <a:chOff x="780" y="223"/>
          <a:chExt cx="58" cy="2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0" y="348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780" y="223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12</xdr:row>
      <xdr:rowOff>123825</xdr:rowOff>
    </xdr:from>
    <xdr:to>
      <xdr:col>7</xdr:col>
      <xdr:colOff>1190625</xdr:colOff>
      <xdr:row>30</xdr:row>
      <xdr:rowOff>47625</xdr:rowOff>
    </xdr:to>
    <xdr:graphicFrame>
      <xdr:nvGraphicFramePr>
        <xdr:cNvPr id="4" name="Chart 1"/>
        <xdr:cNvGraphicFramePr/>
      </xdr:nvGraphicFramePr>
      <xdr:xfrm>
        <a:off x="66675" y="2162175"/>
        <a:ext cx="6457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9</xdr:col>
      <xdr:colOff>152400</xdr:colOff>
      <xdr:row>18</xdr:row>
      <xdr:rowOff>152400</xdr:rowOff>
    </xdr:from>
    <xdr:to>
      <xdr:col>9</xdr:col>
      <xdr:colOff>695325</xdr:colOff>
      <xdr:row>24</xdr:row>
      <xdr:rowOff>9525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316230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38100</xdr:colOff>
      <xdr:row>14</xdr:row>
      <xdr:rowOff>114300</xdr:rowOff>
    </xdr:from>
    <xdr:to>
      <xdr:col>11</xdr:col>
      <xdr:colOff>285750</xdr:colOff>
      <xdr:row>30</xdr:row>
      <xdr:rowOff>0</xdr:rowOff>
    </xdr:to>
    <xdr:graphicFrame>
      <xdr:nvGraphicFramePr>
        <xdr:cNvPr id="6" name="Chart 4"/>
        <xdr:cNvGraphicFramePr/>
      </xdr:nvGraphicFramePr>
      <xdr:xfrm>
        <a:off x="7943850" y="2476500"/>
        <a:ext cx="7239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15</xdr:row>
      <xdr:rowOff>104775</xdr:rowOff>
    </xdr:from>
    <xdr:to>
      <xdr:col>11</xdr:col>
      <xdr:colOff>561975</xdr:colOff>
      <xdr:row>15</xdr:row>
      <xdr:rowOff>104775</xdr:rowOff>
    </xdr:to>
    <xdr:sp>
      <xdr:nvSpPr>
        <xdr:cNvPr id="7" name="Line 10"/>
        <xdr:cNvSpPr>
          <a:spLocks/>
        </xdr:cNvSpPr>
      </xdr:nvSpPr>
      <xdr:spPr>
        <a:xfrm flipH="1">
          <a:off x="8724900" y="2628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22</xdr:row>
      <xdr:rowOff>104775</xdr:rowOff>
    </xdr:from>
    <xdr:to>
      <xdr:col>11</xdr:col>
      <xdr:colOff>561975</xdr:colOff>
      <xdr:row>22</xdr:row>
      <xdr:rowOff>104775</xdr:rowOff>
    </xdr:to>
    <xdr:sp>
      <xdr:nvSpPr>
        <xdr:cNvPr id="8" name="Line 13"/>
        <xdr:cNvSpPr>
          <a:spLocks/>
        </xdr:cNvSpPr>
      </xdr:nvSpPr>
      <xdr:spPr>
        <a:xfrm flipH="1">
          <a:off x="8724900" y="3762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29</xdr:row>
      <xdr:rowOff>85725</xdr:rowOff>
    </xdr:from>
    <xdr:to>
      <xdr:col>11</xdr:col>
      <xdr:colOff>552450</xdr:colOff>
      <xdr:row>29</xdr:row>
      <xdr:rowOff>85725</xdr:rowOff>
    </xdr:to>
    <xdr:sp>
      <xdr:nvSpPr>
        <xdr:cNvPr id="9" name="Line 16"/>
        <xdr:cNvSpPr>
          <a:spLocks/>
        </xdr:cNvSpPr>
      </xdr:nvSpPr>
      <xdr:spPr>
        <a:xfrm flipH="1">
          <a:off x="8715375" y="4876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133350</xdr:rowOff>
    </xdr:from>
    <xdr:to>
      <xdr:col>4</xdr:col>
      <xdr:colOff>171450</xdr:colOff>
      <xdr:row>39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9050" y="5057775"/>
          <a:ext cx="3200400" cy="1724025"/>
          <a:chOff x="32" y="22044"/>
          <a:chExt cx="5308" cy="27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22044"/>
            <a:ext cx="5308" cy="27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34" y="22077"/>
            <a:ext cx="0" cy="13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66" y="23413"/>
            <a:ext cx="12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92" y="22103"/>
            <a:ext cx="1089" cy="12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604" y="23413"/>
            <a:ext cx="2604" cy="667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620" y="23430"/>
            <a:ext cx="860" cy="10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42" y="23430"/>
            <a:ext cx="25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2386" y="24061"/>
            <a:ext cx="648" cy="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alp_eff</a:t>
            </a:r>
          </a:p>
        </xdr:txBody>
      </xdr:sp>
      <xdr:sp fLocksText="0">
        <xdr:nvSpPr>
          <xdr:cNvPr id="10" name="TextBox 10"/>
          <xdr:cNvSpPr txBox="1">
            <a:spLocks noChangeArrowheads="1"/>
          </xdr:cNvSpPr>
        </xdr:nvSpPr>
        <xdr:spPr>
          <a:xfrm>
            <a:off x="711" y="23098"/>
            <a:ext cx="664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alp_un</a:t>
            </a:r>
          </a:p>
        </xdr:txBody>
      </xdr:sp>
      <xdr:sp fLocksText="0">
        <xdr:nvSpPr>
          <xdr:cNvPr id="11" name="TextBox 11"/>
          <xdr:cNvSpPr txBox="1">
            <a:spLocks noChangeArrowheads="1"/>
          </xdr:cNvSpPr>
        </xdr:nvSpPr>
        <xdr:spPr>
          <a:xfrm>
            <a:off x="159" y="22465"/>
            <a:ext cx="141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</a:t>
            </a:r>
          </a:p>
        </xdr:txBody>
      </xdr:sp>
      <xdr:sp fLocksText="0">
        <xdr:nvSpPr>
          <xdr:cNvPr id="12" name="TextBox 12"/>
          <xdr:cNvSpPr txBox="1">
            <a:spLocks noChangeArrowheads="1"/>
          </xdr:cNvSpPr>
        </xdr:nvSpPr>
        <xdr:spPr>
          <a:xfrm>
            <a:off x="964" y="23490"/>
            <a:ext cx="178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</a:t>
            </a:r>
          </a:p>
        </xdr:txBody>
      </xdr:sp>
      <xdr:sp fLocksText="0">
        <xdr:nvSpPr>
          <xdr:cNvPr id="13" name="TextBox 13"/>
          <xdr:cNvSpPr txBox="1">
            <a:spLocks noChangeArrowheads="1"/>
          </xdr:cNvSpPr>
        </xdr:nvSpPr>
        <xdr:spPr>
          <a:xfrm>
            <a:off x="3501" y="23490"/>
            <a:ext cx="719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eps_eff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15</xdr:col>
      <xdr:colOff>180975</xdr:colOff>
      <xdr:row>11</xdr:row>
      <xdr:rowOff>85725</xdr:rowOff>
    </xdr:to>
    <xdr:graphicFrame>
      <xdr:nvGraphicFramePr>
        <xdr:cNvPr id="1" name="Chart 1"/>
        <xdr:cNvGraphicFramePr/>
      </xdr:nvGraphicFramePr>
      <xdr:xfrm>
        <a:off x="9048750" y="0"/>
        <a:ext cx="3048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57150</xdr:rowOff>
    </xdr:from>
    <xdr:to>
      <xdr:col>12</xdr:col>
      <xdr:colOff>161925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609975" y="228600"/>
        <a:ext cx="53054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2"/>
  <sheetViews>
    <sheetView workbookViewId="0" topLeftCell="A1">
      <selection activeCell="D9" sqref="D9"/>
    </sheetView>
  </sheetViews>
  <sheetFormatPr defaultColWidth="11.421875" defaultRowHeight="12.75"/>
  <cols>
    <col min="2" max="2" width="18.57421875" style="0" customWidth="1"/>
    <col min="3" max="3" width="8.57421875" style="5" customWidth="1"/>
    <col min="5" max="5" width="7.140625" style="0" customWidth="1"/>
    <col min="8" max="8" width="18.57421875" style="0" customWidth="1"/>
    <col min="9" max="9" width="8.57421875" style="0" customWidth="1"/>
    <col min="11" max="11" width="7.140625" style="0" customWidth="1"/>
    <col min="13" max="13" width="12.140625" style="0" customWidth="1"/>
    <col min="14" max="14" width="12.8515625" style="0" customWidth="1"/>
    <col min="15" max="15" width="6.421875" style="0" customWidth="1"/>
  </cols>
  <sheetData>
    <row r="1" spans="1:19" ht="18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55"/>
      <c r="R1" s="56" t="s">
        <v>93</v>
      </c>
      <c r="S1" s="57"/>
    </row>
    <row r="2" spans="1:19" ht="12.75">
      <c r="A2" s="116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Q2" s="58"/>
      <c r="R2" s="59" t="s">
        <v>94</v>
      </c>
      <c r="S2" s="60"/>
    </row>
    <row r="3" spans="1:19" ht="13.5" thickBot="1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8"/>
      <c r="R3" s="59"/>
      <c r="S3" s="60"/>
    </row>
    <row r="4" spans="1:19" ht="12.75">
      <c r="A4" s="117" t="s">
        <v>0</v>
      </c>
      <c r="B4" s="52" t="s">
        <v>1</v>
      </c>
      <c r="C4" s="47" t="s">
        <v>4</v>
      </c>
      <c r="D4" s="65">
        <v>1.225</v>
      </c>
      <c r="E4" s="48" t="s">
        <v>2</v>
      </c>
      <c r="G4" s="117" t="s">
        <v>21</v>
      </c>
      <c r="H4" s="98" t="s">
        <v>25</v>
      </c>
      <c r="I4" s="99" t="s">
        <v>24</v>
      </c>
      <c r="J4" s="107">
        <f>$D$6^2*PI()</f>
        <v>1.5393804002589984</v>
      </c>
      <c r="K4" s="100" t="s">
        <v>22</v>
      </c>
      <c r="Q4" s="58">
        <v>0</v>
      </c>
      <c r="R4" s="61">
        <f>IF(J11/J10&gt;1.5,1.49,IF(J11/J10&lt;0.5,0.51,J11/J10))</f>
        <v>1.022098291434065</v>
      </c>
      <c r="S4" s="60"/>
    </row>
    <row r="5" spans="1:19" ht="12.75">
      <c r="A5" s="118"/>
      <c r="B5" s="53" t="s">
        <v>3</v>
      </c>
      <c r="C5" s="45" t="s">
        <v>5</v>
      </c>
      <c r="D5" s="66">
        <v>5</v>
      </c>
      <c r="E5" s="49" t="s">
        <v>6</v>
      </c>
      <c r="G5" s="118"/>
      <c r="H5" s="101" t="s">
        <v>85</v>
      </c>
      <c r="I5" s="102"/>
      <c r="J5" s="108">
        <f>Flächendichte!D22</f>
        <v>7.190402007501994</v>
      </c>
      <c r="K5" s="103" t="s">
        <v>16</v>
      </c>
      <c r="Q5" s="58">
        <v>1</v>
      </c>
      <c r="R5" s="61">
        <f>R4</f>
        <v>1.022098291434065</v>
      </c>
      <c r="S5" s="60"/>
    </row>
    <row r="6" spans="1:19" ht="12.75">
      <c r="A6" s="118"/>
      <c r="B6" s="53" t="s">
        <v>7</v>
      </c>
      <c r="C6" s="46" t="s">
        <v>51</v>
      </c>
      <c r="D6" s="66">
        <v>0.7</v>
      </c>
      <c r="E6" s="49" t="s">
        <v>8</v>
      </c>
      <c r="G6" s="118"/>
      <c r="H6" s="101" t="s">
        <v>23</v>
      </c>
      <c r="I6" s="102" t="s">
        <v>26</v>
      </c>
      <c r="J6" s="109">
        <f>Anlaufmoment!H21</f>
        <v>1.2210445500528397</v>
      </c>
      <c r="K6" s="103" t="s">
        <v>27</v>
      </c>
      <c r="Q6" s="62"/>
      <c r="R6" s="63"/>
      <c r="S6" s="64"/>
    </row>
    <row r="7" spans="1:11" ht="12.75">
      <c r="A7" s="118"/>
      <c r="B7" s="53" t="s">
        <v>9</v>
      </c>
      <c r="C7" s="46" t="s">
        <v>106</v>
      </c>
      <c r="D7" s="66">
        <v>200</v>
      </c>
      <c r="E7" s="49" t="s">
        <v>10</v>
      </c>
      <c r="G7" s="118"/>
      <c r="H7" s="101" t="s">
        <v>28</v>
      </c>
      <c r="I7" s="102" t="s">
        <v>30</v>
      </c>
      <c r="J7" s="110">
        <f>Anlaufmoment!H22</f>
        <v>818.5111359011762</v>
      </c>
      <c r="K7" s="103" t="s">
        <v>29</v>
      </c>
    </row>
    <row r="8" spans="1:11" ht="12.75">
      <c r="A8" s="118"/>
      <c r="B8" s="53" t="s">
        <v>11</v>
      </c>
      <c r="C8" s="46" t="s">
        <v>12</v>
      </c>
      <c r="D8" s="66">
        <v>3</v>
      </c>
      <c r="E8" s="49" t="s">
        <v>6</v>
      </c>
      <c r="G8" s="118"/>
      <c r="H8" s="101" t="s">
        <v>31</v>
      </c>
      <c r="I8" s="102" t="s">
        <v>32</v>
      </c>
      <c r="J8" s="108">
        <f>$D$4/2*$D$12^3*$J$4*D10/100</f>
        <v>651.7120862536497</v>
      </c>
      <c r="K8" s="103" t="s">
        <v>33</v>
      </c>
    </row>
    <row r="9" spans="1:11" ht="12.75">
      <c r="A9" s="118"/>
      <c r="B9" s="53" t="s">
        <v>13</v>
      </c>
      <c r="C9" s="45" t="s">
        <v>52</v>
      </c>
      <c r="D9" s="66">
        <v>8</v>
      </c>
      <c r="E9" s="49" t="s">
        <v>14</v>
      </c>
      <c r="G9" s="118"/>
      <c r="H9" s="101" t="s">
        <v>34</v>
      </c>
      <c r="I9" s="102" t="s">
        <v>35</v>
      </c>
      <c r="J9" s="108">
        <f>$J$8*$D$11/100</f>
        <v>456.19846037755474</v>
      </c>
      <c r="K9" s="103" t="s">
        <v>33</v>
      </c>
    </row>
    <row r="10" spans="1:11" ht="12.75">
      <c r="A10" s="118"/>
      <c r="B10" s="53" t="s">
        <v>15</v>
      </c>
      <c r="C10" s="45" t="s">
        <v>53</v>
      </c>
      <c r="D10" s="66">
        <v>40</v>
      </c>
      <c r="E10" s="49" t="s">
        <v>16</v>
      </c>
      <c r="G10" s="118"/>
      <c r="H10" s="101" t="s">
        <v>84</v>
      </c>
      <c r="I10" s="102" t="s">
        <v>82</v>
      </c>
      <c r="J10" s="109">
        <f>J5/100*J4</f>
        <v>0.11068763920331526</v>
      </c>
      <c r="K10" s="103" t="s">
        <v>22</v>
      </c>
    </row>
    <row r="11" spans="1:11" ht="13.5" thickBot="1">
      <c r="A11" s="118"/>
      <c r="B11" s="53" t="s">
        <v>17</v>
      </c>
      <c r="C11" s="45" t="s">
        <v>54</v>
      </c>
      <c r="D11" s="66">
        <v>70</v>
      </c>
      <c r="E11" s="49" t="s">
        <v>16</v>
      </c>
      <c r="G11" s="119"/>
      <c r="H11" s="104" t="s">
        <v>87</v>
      </c>
      <c r="I11" s="105" t="s">
        <v>88</v>
      </c>
      <c r="J11" s="111">
        <f>Anlaufmoment!D21*$D$8</f>
        <v>0.11313364691257877</v>
      </c>
      <c r="K11" s="106" t="s">
        <v>22</v>
      </c>
    </row>
    <row r="12" spans="1:5" ht="13.5" thickBot="1">
      <c r="A12" s="119"/>
      <c r="B12" s="54" t="s">
        <v>18</v>
      </c>
      <c r="C12" s="50" t="s">
        <v>19</v>
      </c>
      <c r="D12" s="67">
        <v>12</v>
      </c>
      <c r="E12" s="51" t="s">
        <v>20</v>
      </c>
    </row>
    <row r="13" spans="10:15" ht="12.75">
      <c r="J13" s="70" t="s">
        <v>81</v>
      </c>
      <c r="K13" s="36"/>
      <c r="L13" s="36"/>
      <c r="M13" s="36"/>
      <c r="N13" s="36"/>
      <c r="O13" s="37"/>
    </row>
    <row r="14" spans="10:15" ht="12.75">
      <c r="J14" s="38"/>
      <c r="K14" s="39"/>
      <c r="L14" s="39"/>
      <c r="M14" s="39"/>
      <c r="N14" s="39"/>
      <c r="O14" s="40"/>
    </row>
    <row r="15" spans="4:15" ht="12.75">
      <c r="D15" s="68">
        <v>32</v>
      </c>
      <c r="I15" s="44">
        <v>76</v>
      </c>
      <c r="J15" s="38"/>
      <c r="K15" s="39"/>
      <c r="L15" s="39"/>
      <c r="M15" s="39"/>
      <c r="N15" s="39"/>
      <c r="O15" s="40"/>
    </row>
    <row r="16" spans="10:15" ht="12.75">
      <c r="J16" s="38"/>
      <c r="K16" s="39"/>
      <c r="L16" s="39"/>
      <c r="M16" s="96" t="s">
        <v>95</v>
      </c>
      <c r="N16" s="37"/>
      <c r="O16" s="40"/>
    </row>
    <row r="17" spans="10:15" ht="12.75">
      <c r="J17" s="38"/>
      <c r="K17" s="39"/>
      <c r="L17" s="39"/>
      <c r="M17" s="97" t="s">
        <v>102</v>
      </c>
      <c r="N17" s="40"/>
      <c r="O17" s="40"/>
    </row>
    <row r="18" spans="10:15" ht="12.75">
      <c r="J18" s="38"/>
      <c r="K18" s="39"/>
      <c r="L18" s="39"/>
      <c r="M18" s="38" t="s">
        <v>103</v>
      </c>
      <c r="N18" s="40"/>
      <c r="O18" s="40"/>
    </row>
    <row r="19" spans="10:15" ht="12.75">
      <c r="J19" s="38"/>
      <c r="K19" s="39"/>
      <c r="L19" s="39"/>
      <c r="M19" s="41" t="s">
        <v>104</v>
      </c>
      <c r="N19" s="43"/>
      <c r="O19" s="40"/>
    </row>
    <row r="20" spans="10:15" ht="12.75">
      <c r="J20" s="38"/>
      <c r="K20" s="39"/>
      <c r="L20" s="39"/>
      <c r="M20" s="39"/>
      <c r="N20" s="39"/>
      <c r="O20" s="40"/>
    </row>
    <row r="21" spans="10:15" ht="12.75" customHeight="1">
      <c r="J21" s="38"/>
      <c r="K21" s="39"/>
      <c r="L21" s="39"/>
      <c r="M21" s="39"/>
      <c r="N21" s="39"/>
      <c r="O21" s="40"/>
    </row>
    <row r="22" spans="10:15" ht="12.75" customHeight="1">
      <c r="J22" s="38"/>
      <c r="K22" s="39"/>
      <c r="L22" s="39"/>
      <c r="M22" s="39"/>
      <c r="N22" s="112" t="str">
        <f>IF(J11/J10&gt;1,CONCATENATE("Flächendichte ",ROUND((J11/J10-1)*100,0),"% zu groß."),CONCATENATE("Flächendichte ",ROUND((1-J11/J10)*100,0),"% zu klein."))</f>
        <v>Flächendichte 2% zu groß.</v>
      </c>
      <c r="O22" s="40"/>
    </row>
    <row r="23" spans="10:15" ht="12.75">
      <c r="J23" s="38"/>
      <c r="K23" s="39"/>
      <c r="L23" s="39"/>
      <c r="M23" s="39" t="s">
        <v>97</v>
      </c>
      <c r="N23" s="113"/>
      <c r="O23" s="40"/>
    </row>
    <row r="24" spans="10:15" ht="12.75">
      <c r="J24" s="38"/>
      <c r="K24" s="39"/>
      <c r="L24" s="39"/>
      <c r="M24" s="39"/>
      <c r="N24" s="114"/>
      <c r="O24" s="40"/>
    </row>
    <row r="25" spans="10:15" ht="12.75">
      <c r="J25" s="38"/>
      <c r="K25" s="39"/>
      <c r="L25" s="39"/>
      <c r="M25" s="39"/>
      <c r="N25" s="39"/>
      <c r="O25" s="40"/>
    </row>
    <row r="26" spans="10:15" ht="12.75">
      <c r="J26" s="38"/>
      <c r="K26" s="39"/>
      <c r="L26" s="39"/>
      <c r="M26" s="39"/>
      <c r="N26" s="39"/>
      <c r="O26" s="40"/>
    </row>
    <row r="27" spans="10:15" ht="12.75">
      <c r="J27" s="38"/>
      <c r="K27" s="39"/>
      <c r="L27" s="39"/>
      <c r="M27" s="39"/>
      <c r="N27" s="39"/>
      <c r="O27" s="40"/>
    </row>
    <row r="28" spans="10:15" ht="12.75">
      <c r="J28" s="38"/>
      <c r="K28" s="39"/>
      <c r="L28" s="39"/>
      <c r="M28" s="96" t="s">
        <v>96</v>
      </c>
      <c r="N28" s="37"/>
      <c r="O28" s="40"/>
    </row>
    <row r="29" spans="10:15" ht="12.75">
      <c r="J29" s="38"/>
      <c r="K29" s="39"/>
      <c r="L29" s="39"/>
      <c r="M29" s="97" t="s">
        <v>99</v>
      </c>
      <c r="N29" s="40"/>
      <c r="O29" s="40"/>
    </row>
    <row r="30" spans="10:15" ht="15.75" customHeight="1">
      <c r="J30" s="38"/>
      <c r="K30" s="39"/>
      <c r="L30" s="39"/>
      <c r="M30" s="38" t="s">
        <v>100</v>
      </c>
      <c r="N30" s="40"/>
      <c r="O30" s="40"/>
    </row>
    <row r="31" spans="10:15" ht="12.75">
      <c r="J31" s="38"/>
      <c r="K31" s="39"/>
      <c r="L31" s="39"/>
      <c r="M31" s="41" t="s">
        <v>101</v>
      </c>
      <c r="N31" s="43"/>
      <c r="O31" s="40"/>
    </row>
    <row r="32" spans="10:15" ht="12.75">
      <c r="J32" s="41"/>
      <c r="K32" s="42"/>
      <c r="L32" s="42"/>
      <c r="M32" s="69"/>
      <c r="N32" s="42"/>
      <c r="O32" s="43"/>
    </row>
  </sheetData>
  <sheetProtection sheet="1" objects="1" scenarios="1" selectLockedCells="1"/>
  <mergeCells count="5">
    <mergeCell ref="N22:N24"/>
    <mergeCell ref="A1:N1"/>
    <mergeCell ref="A2:N2"/>
    <mergeCell ref="A4:A12"/>
    <mergeCell ref="G4:G1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7"/>
  <sheetViews>
    <sheetView tabSelected="1" workbookViewId="0" topLeftCell="A1">
      <selection activeCell="F34" sqref="F34"/>
    </sheetView>
  </sheetViews>
  <sheetFormatPr defaultColWidth="11.421875" defaultRowHeight="12.75"/>
  <cols>
    <col min="8" max="8" width="8.28125" style="0" customWidth="1"/>
    <col min="9" max="9" width="11.57421875" style="0" customWidth="1"/>
    <col min="10" max="10" width="11.8515625" style="0" customWidth="1"/>
    <col min="12" max="12" width="13.8515625" style="0" customWidth="1"/>
  </cols>
  <sheetData>
    <row r="1" ht="18">
      <c r="A1" s="35" t="s">
        <v>89</v>
      </c>
    </row>
    <row r="3" ht="13.5" thickBot="1"/>
    <row r="4" spans="2:17" ht="23.25" thickBot="1">
      <c r="B4" s="30"/>
      <c r="C4" s="32" t="s">
        <v>37</v>
      </c>
      <c r="D4" s="33" t="s">
        <v>38</v>
      </c>
      <c r="E4" s="33" t="s">
        <v>39</v>
      </c>
      <c r="F4" s="34" t="s">
        <v>40</v>
      </c>
      <c r="G4" s="34" t="s">
        <v>41</v>
      </c>
      <c r="H4" s="120" t="s">
        <v>42</v>
      </c>
      <c r="I4" s="121"/>
      <c r="J4" s="122"/>
      <c r="Q4" t="s">
        <v>43</v>
      </c>
    </row>
    <row r="5" spans="1:18" s="8" customFormat="1" ht="26.25" thickBot="1">
      <c r="A5" s="71" t="s">
        <v>55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7" t="s">
        <v>49</v>
      </c>
      <c r="H5" s="81" t="s">
        <v>50</v>
      </c>
      <c r="I5" s="82" t="s">
        <v>90</v>
      </c>
      <c r="J5" s="83" t="s">
        <v>91</v>
      </c>
      <c r="Q5" s="8">
        <v>2</v>
      </c>
      <c r="R5" s="8">
        <v>0.25</v>
      </c>
    </row>
    <row r="6" spans="1:18" ht="12.75">
      <c r="A6" s="72">
        <v>0</v>
      </c>
      <c r="B6" s="73">
        <v>90</v>
      </c>
      <c r="C6" s="74">
        <f>B6-Übersicht!$D$9</f>
        <v>82</v>
      </c>
      <c r="D6" s="75">
        <f>(-Übersicht!D15)/2+10</f>
        <v>-6</v>
      </c>
      <c r="E6" s="74">
        <f>2*C6-D6</f>
        <v>170</v>
      </c>
      <c r="F6" s="74">
        <f>E6-D6</f>
        <v>176</v>
      </c>
      <c r="G6" s="78">
        <f>Übersicht!$D$7/2*F6*PI()/180</f>
        <v>307.177948351002</v>
      </c>
      <c r="H6" s="84">
        <f>A6*Übersicht!$D$6*1000</f>
        <v>0</v>
      </c>
      <c r="I6" s="85">
        <f>Übersicht!$D$7/2*D6*PI()/180</f>
        <v>-10.471975511965978</v>
      </c>
      <c r="J6" s="86">
        <f>Übersicht!$D$7/2*E6*PI()/180</f>
        <v>296.705972839036</v>
      </c>
      <c r="K6" s="123" t="s">
        <v>92</v>
      </c>
      <c r="L6" s="123" t="s">
        <v>105</v>
      </c>
      <c r="Q6">
        <v>3</v>
      </c>
      <c r="R6">
        <v>0.15</v>
      </c>
    </row>
    <row r="7" spans="1:18" ht="12.75">
      <c r="A7" s="72">
        <v>0.05</v>
      </c>
      <c r="B7" s="73">
        <f>ATAN(1/(A7*Übersicht!$D$5))*180/PI()</f>
        <v>75.96375653207353</v>
      </c>
      <c r="C7" s="74">
        <f>B7-Übersicht!$D$9</f>
        <v>67.96375653207353</v>
      </c>
      <c r="D7" s="75">
        <f aca="true" t="shared" si="0" ref="D7:D26">D6</f>
        <v>-6</v>
      </c>
      <c r="E7" s="74">
        <f aca="true" t="shared" si="1" ref="E7:E26">2*C7-D7</f>
        <v>141.92751306414706</v>
      </c>
      <c r="F7" s="74">
        <f aca="true" t="shared" si="2" ref="F7:F26">E7-D7</f>
        <v>147.92751306414706</v>
      </c>
      <c r="G7" s="78">
        <f>Übersicht!$D$7/2*F7*PI()/180</f>
        <v>258.1822157256292</v>
      </c>
      <c r="H7" s="87">
        <f>A7*Übersicht!$D$6*1000</f>
        <v>34.99999999999999</v>
      </c>
      <c r="I7" s="88">
        <f>Übersicht!$D$7/2*D7*PI()/180</f>
        <v>-10.471975511965978</v>
      </c>
      <c r="J7" s="89">
        <f>Übersicht!$D$7/2*E7*PI()/180</f>
        <v>247.7102402136632</v>
      </c>
      <c r="K7" s="123"/>
      <c r="L7" s="123"/>
      <c r="Q7">
        <v>4</v>
      </c>
      <c r="R7">
        <v>0.08</v>
      </c>
    </row>
    <row r="8" spans="1:18" ht="12.75">
      <c r="A8" s="72">
        <v>0.1</v>
      </c>
      <c r="B8" s="73">
        <f>ATAN(1/(A8*Übersicht!$D$5))*180/PI()</f>
        <v>63.43494882292201</v>
      </c>
      <c r="C8" s="74">
        <f>B8-Übersicht!$D$9</f>
        <v>55.43494882292201</v>
      </c>
      <c r="D8" s="75">
        <f t="shared" si="0"/>
        <v>-6</v>
      </c>
      <c r="E8" s="74">
        <f t="shared" si="1"/>
        <v>116.86989764584402</v>
      </c>
      <c r="F8" s="74">
        <f t="shared" si="2"/>
        <v>122.86989764584402</v>
      </c>
      <c r="G8" s="78">
        <f>Übersicht!$D$7/2*F8*PI()/180</f>
        <v>214.44842655084074</v>
      </c>
      <c r="H8" s="87">
        <f>A8*Übersicht!$D$6*1000</f>
        <v>69.99999999999999</v>
      </c>
      <c r="I8" s="88">
        <f>Übersicht!$D$7/2*D8*PI()/180</f>
        <v>-10.471975511965978</v>
      </c>
      <c r="J8" s="89">
        <f>Übersicht!$D$7/2*E8*PI()/180</f>
        <v>203.97645103887476</v>
      </c>
      <c r="K8" s="123"/>
      <c r="L8" s="123"/>
      <c r="Q8">
        <v>5</v>
      </c>
      <c r="R8">
        <v>0.065</v>
      </c>
    </row>
    <row r="9" spans="1:18" ht="12.75">
      <c r="A9" s="72">
        <v>0.15</v>
      </c>
      <c r="B9" s="73">
        <f>ATAN(1/(A9*Übersicht!$D$5))*180/PI()</f>
        <v>53.13010235415598</v>
      </c>
      <c r="C9" s="74">
        <f>B9-Übersicht!$D$9</f>
        <v>45.13010235415598</v>
      </c>
      <c r="D9" s="75">
        <f t="shared" si="0"/>
        <v>-6</v>
      </c>
      <c r="E9" s="74">
        <f t="shared" si="1"/>
        <v>96.26020470831196</v>
      </c>
      <c r="F9" s="74">
        <f t="shared" si="2"/>
        <v>102.26020470831196</v>
      </c>
      <c r="G9" s="78">
        <f>Übersicht!$D$7/2*F9*PI()/180</f>
        <v>178.47772659234514</v>
      </c>
      <c r="H9" s="87">
        <f>A9*Übersicht!$D$6*1000</f>
        <v>105</v>
      </c>
      <c r="I9" s="88">
        <f>Übersicht!$D$7/2*D9*PI()/180</f>
        <v>-10.471975511965978</v>
      </c>
      <c r="J9" s="89">
        <f>Übersicht!$D$7/2*E9*PI()/180</f>
        <v>168.00575108037913</v>
      </c>
      <c r="K9" s="123"/>
      <c r="L9" s="123"/>
      <c r="Q9">
        <v>6</v>
      </c>
      <c r="R9">
        <v>0.045</v>
      </c>
    </row>
    <row r="10" spans="1:18" ht="12.75">
      <c r="A10" s="72">
        <v>0.2</v>
      </c>
      <c r="B10" s="73">
        <f>ATAN(1/(A10*Übersicht!$D$5))*180/PI()</f>
        <v>45</v>
      </c>
      <c r="C10" s="74">
        <f>B10-Übersicht!$D$9</f>
        <v>37</v>
      </c>
      <c r="D10" s="75">
        <f t="shared" si="0"/>
        <v>-6</v>
      </c>
      <c r="E10" s="74">
        <f t="shared" si="1"/>
        <v>80</v>
      </c>
      <c r="F10" s="74">
        <f t="shared" si="2"/>
        <v>86</v>
      </c>
      <c r="G10" s="78">
        <f>Übersicht!$D$7/2*F10*PI()/180</f>
        <v>150.09831567151235</v>
      </c>
      <c r="H10" s="90">
        <f>A10*Übersicht!$D$6*1000</f>
        <v>139.99999999999997</v>
      </c>
      <c r="I10" s="91">
        <f>Übersicht!$D$7/2*D10*PI()/180</f>
        <v>-10.471975511965978</v>
      </c>
      <c r="J10" s="92">
        <f>Übersicht!$D$7/2*E10*PI()/180</f>
        <v>139.62634015954634</v>
      </c>
      <c r="K10" s="4"/>
      <c r="Q10">
        <v>7</v>
      </c>
      <c r="R10">
        <v>0.028</v>
      </c>
    </row>
    <row r="11" spans="1:18" ht="12.75">
      <c r="A11" s="72">
        <v>0.25</v>
      </c>
      <c r="B11" s="73">
        <f>ATAN(1/(A11*Übersicht!$D$5))*180/PI()</f>
        <v>38.659808254090095</v>
      </c>
      <c r="C11" s="74">
        <f>B11-Übersicht!$D$9</f>
        <v>30.659808254090095</v>
      </c>
      <c r="D11" s="75">
        <f t="shared" si="0"/>
        <v>-6</v>
      </c>
      <c r="E11" s="74">
        <f t="shared" si="1"/>
        <v>67.31961650818019</v>
      </c>
      <c r="F11" s="74">
        <f>E11-D11</f>
        <v>73.31961650818019</v>
      </c>
      <c r="G11" s="78">
        <f>Übersicht!$D$7/2*F11*PI()/180</f>
        <v>127.96687143673323</v>
      </c>
      <c r="H11" s="90">
        <f>A11*Übersicht!$D$6*1000</f>
        <v>175</v>
      </c>
      <c r="I11" s="91">
        <f>Übersicht!$D$7/2*D11*PI()/180</f>
        <v>-10.471975511965978</v>
      </c>
      <c r="J11" s="92">
        <f>Übersicht!$D$7/2*E11*PI()/180</f>
        <v>117.49489592476723</v>
      </c>
      <c r="K11" s="4"/>
      <c r="Q11">
        <v>8</v>
      </c>
      <c r="R11">
        <v>0.026</v>
      </c>
    </row>
    <row r="12" spans="1:18" ht="12.75">
      <c r="A12" s="72">
        <v>0.3</v>
      </c>
      <c r="B12" s="73">
        <f>ATAN(1/(A12*Übersicht!$D$5))*180/PI()</f>
        <v>33.690067525979785</v>
      </c>
      <c r="C12" s="74">
        <f>B12-Übersicht!$D$9</f>
        <v>25.690067525979785</v>
      </c>
      <c r="D12" s="75">
        <f t="shared" si="0"/>
        <v>-6</v>
      </c>
      <c r="E12" s="74">
        <f t="shared" si="1"/>
        <v>57.38013505195957</v>
      </c>
      <c r="F12" s="74">
        <f t="shared" si="2"/>
        <v>63.38013505195957</v>
      </c>
      <c r="G12" s="78">
        <f>Übersicht!$D$7/2*F12*PI()/180</f>
        <v>110.6192037015362</v>
      </c>
      <c r="H12" s="90">
        <f>A12*Übersicht!$D$6*1000</f>
        <v>210</v>
      </c>
      <c r="I12" s="91">
        <f>Übersicht!$D$7/2*D12*PI()/180</f>
        <v>-10.471975511965978</v>
      </c>
      <c r="J12" s="92">
        <f>Übersicht!$D$7/2*E12*PI()/180</f>
        <v>100.1472281895702</v>
      </c>
      <c r="K12" s="4"/>
      <c r="Q12">
        <v>9</v>
      </c>
      <c r="R12">
        <v>0.021</v>
      </c>
    </row>
    <row r="13" spans="1:11" ht="12.75">
      <c r="A13" s="72">
        <v>0.35</v>
      </c>
      <c r="B13" s="73">
        <f>ATAN(1/(A13*Übersicht!$D$5))*180/PI()</f>
        <v>29.744881296942225</v>
      </c>
      <c r="C13" s="74">
        <f>B13-Übersicht!$D$9</f>
        <v>21.744881296942225</v>
      </c>
      <c r="D13" s="75">
        <f t="shared" si="0"/>
        <v>-6</v>
      </c>
      <c r="E13" s="74">
        <f>2*C13-D13</f>
        <v>49.48976259388445</v>
      </c>
      <c r="F13" s="74">
        <f t="shared" si="2"/>
        <v>55.48976259388445</v>
      </c>
      <c r="G13" s="78">
        <f>Übersicht!$D$7/2*F13*PI()/180</f>
        <v>96.84790584132728</v>
      </c>
      <c r="H13" s="90">
        <f>A13*Übersicht!$D$6*1000</f>
        <v>244.99999999999997</v>
      </c>
      <c r="I13" s="91">
        <f>Übersicht!$D$7/2*D13*PI()/180</f>
        <v>-10.471975511965978</v>
      </c>
      <c r="J13" s="92">
        <f>Übersicht!$D$7/2*E13*PI()/180</f>
        <v>86.3759303293613</v>
      </c>
      <c r="K13" s="4"/>
    </row>
    <row r="14" spans="1:11" ht="12.75">
      <c r="A14" s="72">
        <v>0.4</v>
      </c>
      <c r="B14" s="73">
        <f>ATAN(1/(A14*Übersicht!$D$5))*180/PI()</f>
        <v>26.56505117707799</v>
      </c>
      <c r="C14" s="74">
        <f>B14-Übersicht!$D$9</f>
        <v>18.56505117707799</v>
      </c>
      <c r="D14" s="75">
        <f t="shared" si="0"/>
        <v>-6</v>
      </c>
      <c r="E14" s="74">
        <f t="shared" si="1"/>
        <v>43.13010235415598</v>
      </c>
      <c r="F14" s="74">
        <f t="shared" si="2"/>
        <v>49.13010235415598</v>
      </c>
      <c r="G14" s="78">
        <f>Übersicht!$D$7/2*F14*PI()/180</f>
        <v>85.7482047921839</v>
      </c>
      <c r="H14" s="90">
        <f>A14*Übersicht!$D$6*1000</f>
        <v>279.99999999999994</v>
      </c>
      <c r="I14" s="91">
        <f>Übersicht!$D$7/2*D14*PI()/180</f>
        <v>-10.471975511965978</v>
      </c>
      <c r="J14" s="92">
        <f>Übersicht!$D$7/2*E14*PI()/180</f>
        <v>75.27622928021792</v>
      </c>
      <c r="K14" s="4"/>
    </row>
    <row r="15" spans="1:11" ht="12.75">
      <c r="A15" s="72">
        <v>0.45</v>
      </c>
      <c r="B15" s="73">
        <f>ATAN(1/(A15*Übersicht!$D$5))*180/PI()</f>
        <v>23.962488974578182</v>
      </c>
      <c r="C15" s="74">
        <f>B15-Übersicht!$D$9</f>
        <v>15.962488974578182</v>
      </c>
      <c r="D15" s="75">
        <f t="shared" si="0"/>
        <v>-6</v>
      </c>
      <c r="E15" s="74">
        <f t="shared" si="1"/>
        <v>37.924977949156364</v>
      </c>
      <c r="F15" s="74">
        <f t="shared" si="2"/>
        <v>43.924977949156364</v>
      </c>
      <c r="G15" s="78">
        <f>Übersicht!$D$7/2*F15*PI()/180</f>
        <v>76.6635489078685</v>
      </c>
      <c r="H15" s="90">
        <f>A15*Übersicht!$D$6*1000</f>
        <v>315</v>
      </c>
      <c r="I15" s="91">
        <f>Übersicht!$D$7/2*D15*PI()/180</f>
        <v>-10.471975511965978</v>
      </c>
      <c r="J15" s="92">
        <f>Übersicht!$D$7/2*E15*PI()/180</f>
        <v>66.19157339590252</v>
      </c>
      <c r="K15" s="4"/>
    </row>
    <row r="16" spans="1:11" ht="12.75">
      <c r="A16" s="72">
        <v>0.5</v>
      </c>
      <c r="B16" s="73">
        <f>ATAN(1/(A16*Übersicht!$D$5))*180/PI()</f>
        <v>21.80140948635181</v>
      </c>
      <c r="C16" s="74">
        <f>B16-Übersicht!$D$9</f>
        <v>13.801409486351812</v>
      </c>
      <c r="D16" s="75">
        <f t="shared" si="0"/>
        <v>-6</v>
      </c>
      <c r="E16" s="74">
        <f t="shared" si="1"/>
        <v>33.60281897270362</v>
      </c>
      <c r="F16" s="74">
        <f t="shared" si="2"/>
        <v>39.60281897270362</v>
      </c>
      <c r="G16" s="78">
        <f>Übersicht!$D$7/2*F16*PI()/180</f>
        <v>69.11995841449566</v>
      </c>
      <c r="H16" s="90">
        <f>A16*Übersicht!$D$6*1000</f>
        <v>350</v>
      </c>
      <c r="I16" s="91">
        <f>Übersicht!$D$7/2*D16*PI()/180</f>
        <v>-10.471975511965978</v>
      </c>
      <c r="J16" s="92">
        <f>Übersicht!$D$7/2*E16*PI()/180</f>
        <v>58.64798290252968</v>
      </c>
      <c r="K16" s="4"/>
    </row>
    <row r="17" spans="1:11" ht="12.75">
      <c r="A17" s="72">
        <v>0.55</v>
      </c>
      <c r="B17" s="73">
        <f>ATAN(1/(A17*Übersicht!$D$5))*180/PI()</f>
        <v>19.98310652189998</v>
      </c>
      <c r="C17" s="74">
        <f>B17-Übersicht!$D$9</f>
        <v>11.98310652189998</v>
      </c>
      <c r="D17" s="75">
        <f t="shared" si="0"/>
        <v>-6</v>
      </c>
      <c r="E17" s="74">
        <f t="shared" si="1"/>
        <v>29.96621304379996</v>
      </c>
      <c r="F17" s="74">
        <f t="shared" si="2"/>
        <v>35.96621304379996</v>
      </c>
      <c r="G17" s="78">
        <f>Übersicht!$D$7/2*F17*PI()/180</f>
        <v>62.77288370880409</v>
      </c>
      <c r="H17" s="90">
        <f>A17*Übersicht!$D$6*1000</f>
        <v>385</v>
      </c>
      <c r="I17" s="91">
        <f>Übersicht!$D$7/2*D17*PI()/180</f>
        <v>-10.471975511965978</v>
      </c>
      <c r="J17" s="92">
        <f>Übersicht!$D$7/2*E17*PI()/180</f>
        <v>52.30090819683811</v>
      </c>
      <c r="K17" s="4"/>
    </row>
    <row r="18" spans="1:11" ht="12.75">
      <c r="A18" s="72">
        <v>0.6</v>
      </c>
      <c r="B18" s="73">
        <f>ATAN(1/(A18*Übersicht!$D$5))*180/PI()</f>
        <v>18.43494882292201</v>
      </c>
      <c r="C18" s="74">
        <f>B18-Übersicht!$D$9</f>
        <v>10.43494882292201</v>
      </c>
      <c r="D18" s="75">
        <f t="shared" si="0"/>
        <v>-6</v>
      </c>
      <c r="E18" s="74">
        <f t="shared" si="1"/>
        <v>26.86989764584402</v>
      </c>
      <c r="F18" s="74">
        <f t="shared" si="2"/>
        <v>32.86989764584402</v>
      </c>
      <c r="G18" s="78">
        <f>Übersicht!$D$7/2*F18*PI()/180</f>
        <v>57.368793871351116</v>
      </c>
      <c r="H18" s="90">
        <f>A18*Übersicht!$D$6*1000</f>
        <v>420</v>
      </c>
      <c r="I18" s="91">
        <f>Übersicht!$D$7/2*D18*PI()/180</f>
        <v>-10.471975511965978</v>
      </c>
      <c r="J18" s="92">
        <f>Übersicht!$D$7/2*E18*PI()/180</f>
        <v>46.896818359385136</v>
      </c>
      <c r="K18" s="4"/>
    </row>
    <row r="19" spans="1:11" ht="12.75">
      <c r="A19" s="72">
        <v>0.65</v>
      </c>
      <c r="B19" s="73">
        <f>ATAN(1/(A19*Übersicht!$D$5))*180/PI()</f>
        <v>17.10272896905237</v>
      </c>
      <c r="C19" s="74">
        <f>B19-Übersicht!$D$9</f>
        <v>9.102728969052372</v>
      </c>
      <c r="D19" s="75">
        <f t="shared" si="0"/>
        <v>-6</v>
      </c>
      <c r="E19" s="74">
        <f t="shared" si="1"/>
        <v>24.205457938104743</v>
      </c>
      <c r="F19" s="74">
        <f t="shared" si="2"/>
        <v>30.205457938104743</v>
      </c>
      <c r="G19" s="78">
        <f>Übersicht!$D$7/2*F19*PI()/180</f>
        <v>52.71846930925853</v>
      </c>
      <c r="H19" s="90">
        <f>A19*Übersicht!$D$6*1000</f>
        <v>454.99999999999994</v>
      </c>
      <c r="I19" s="91">
        <f>Übersicht!$D$7/2*D19*PI()/180</f>
        <v>-10.471975511965978</v>
      </c>
      <c r="J19" s="92">
        <f>Übersicht!$D$7/2*E19*PI()/180</f>
        <v>42.24649379729255</v>
      </c>
      <c r="K19" s="4"/>
    </row>
    <row r="20" spans="1:11" ht="12.75">
      <c r="A20" s="72">
        <v>0.7</v>
      </c>
      <c r="B20" s="73">
        <f>ATAN(1/(A20*Übersicht!$D$5))*180/PI()</f>
        <v>15.945395900922856</v>
      </c>
      <c r="C20" s="74">
        <f>B20-Übersicht!$D$9</f>
        <v>7.945395900922856</v>
      </c>
      <c r="D20" s="75">
        <f t="shared" si="0"/>
        <v>-6</v>
      </c>
      <c r="E20" s="74">
        <f t="shared" si="1"/>
        <v>21.89079180184571</v>
      </c>
      <c r="F20" s="74">
        <f t="shared" si="2"/>
        <v>27.89079180184571</v>
      </c>
      <c r="G20" s="78">
        <f>Übersicht!$D$7/2*F20*PI()/180</f>
        <v>48.67861479304496</v>
      </c>
      <c r="H20" s="90">
        <f>A20*Übersicht!$D$6*1000</f>
        <v>489.99999999999994</v>
      </c>
      <c r="I20" s="91">
        <f>Übersicht!$D$7/2*D20*PI()/180</f>
        <v>-10.471975511965978</v>
      </c>
      <c r="J20" s="92">
        <f>Übersicht!$D$7/2*E20*PI()/180</f>
        <v>38.20663928107898</v>
      </c>
      <c r="K20" s="4"/>
    </row>
    <row r="21" spans="1:11" ht="12.75">
      <c r="A21" s="72">
        <v>0.75</v>
      </c>
      <c r="B21" s="73">
        <f>ATAN(1/(A21*Übersicht!$D$5))*180/PI()</f>
        <v>14.93141717813755</v>
      </c>
      <c r="C21" s="74">
        <f>B21-Übersicht!$D$9</f>
        <v>6.931417178137551</v>
      </c>
      <c r="D21" s="75">
        <f t="shared" si="0"/>
        <v>-6</v>
      </c>
      <c r="E21" s="74">
        <f t="shared" si="1"/>
        <v>19.8628343562751</v>
      </c>
      <c r="F21" s="74">
        <f t="shared" si="2"/>
        <v>25.8628343562751</v>
      </c>
      <c r="G21" s="78">
        <f>Übersicht!$D$7/2*F21*PI()/180</f>
        <v>45.139161341490876</v>
      </c>
      <c r="H21" s="90">
        <f>A21*Übersicht!$D$6*1000</f>
        <v>524.9999999999999</v>
      </c>
      <c r="I21" s="91">
        <f>Übersicht!$D$7/2*D21*PI()/180</f>
        <v>-10.471975511965978</v>
      </c>
      <c r="J21" s="92">
        <f>Übersicht!$D$7/2*E21*PI()/180</f>
        <v>34.66718582952489</v>
      </c>
      <c r="K21" s="4"/>
    </row>
    <row r="22" spans="1:11" ht="12.75">
      <c r="A22" s="72">
        <v>0.8</v>
      </c>
      <c r="B22" s="73">
        <f>ATAN(1/(A22*Übersicht!$D$5))*180/PI()</f>
        <v>14.036243467926477</v>
      </c>
      <c r="C22" s="74">
        <f>B22-Übersicht!$D$9</f>
        <v>6.036243467926477</v>
      </c>
      <c r="D22" s="75">
        <f t="shared" si="0"/>
        <v>-6</v>
      </c>
      <c r="E22" s="74">
        <f t="shared" si="1"/>
        <v>18.072486935852954</v>
      </c>
      <c r="F22" s="74">
        <f t="shared" si="2"/>
        <v>24.072486935852954</v>
      </c>
      <c r="G22" s="78">
        <f>Übersicht!$D$7/2*F22*PI()/180</f>
        <v>42.01441561739551</v>
      </c>
      <c r="H22" s="90">
        <f>A22*Übersicht!$D$6*1000</f>
        <v>559.9999999999999</v>
      </c>
      <c r="I22" s="91">
        <f>Übersicht!$D$7/2*D22*PI()/180</f>
        <v>-10.471975511965978</v>
      </c>
      <c r="J22" s="92">
        <f>Übersicht!$D$7/2*E22*PI()/180</f>
        <v>31.542440105429527</v>
      </c>
      <c r="K22" s="4"/>
    </row>
    <row r="23" spans="1:11" ht="12.75">
      <c r="A23" s="72">
        <v>0.85</v>
      </c>
      <c r="B23" s="73">
        <f>ATAN(1/(A23*Übersicht!$D$5))*180/PI()</f>
        <v>13.240519915187205</v>
      </c>
      <c r="C23" s="74">
        <f>B23-Übersicht!$D$9</f>
        <v>5.240519915187205</v>
      </c>
      <c r="D23" s="75">
        <f t="shared" si="0"/>
        <v>-6</v>
      </c>
      <c r="E23" s="74">
        <f t="shared" si="1"/>
        <v>16.48103983037441</v>
      </c>
      <c r="F23" s="74">
        <f t="shared" si="2"/>
        <v>22.48103983037441</v>
      </c>
      <c r="G23" s="78">
        <f>Übersicht!$D$7/2*F23*PI()/180</f>
        <v>39.2368164312021</v>
      </c>
      <c r="H23" s="90">
        <f>A23*Übersicht!$D$6*1000</f>
        <v>595</v>
      </c>
      <c r="I23" s="91">
        <f>Übersicht!$D$7/2*D23*PI()/180</f>
        <v>-10.471975511965978</v>
      </c>
      <c r="J23" s="92">
        <f>Übersicht!$D$7/2*E23*PI()/180</f>
        <v>28.764840919236118</v>
      </c>
      <c r="K23" s="4"/>
    </row>
    <row r="24" spans="1:11" ht="12.75">
      <c r="A24" s="72">
        <v>0.9</v>
      </c>
      <c r="B24" s="73">
        <f>ATAN(1/(A24*Übersicht!$D$5))*180/PI()</f>
        <v>12.528807709151511</v>
      </c>
      <c r="C24" s="74">
        <f>B24-Übersicht!$D$9</f>
        <v>4.528807709151511</v>
      </c>
      <c r="D24" s="75">
        <f t="shared" si="0"/>
        <v>-6</v>
      </c>
      <c r="E24" s="74">
        <f t="shared" si="1"/>
        <v>15.057615418303023</v>
      </c>
      <c r="F24" s="74">
        <f t="shared" si="2"/>
        <v>21.057615418303023</v>
      </c>
      <c r="G24" s="78">
        <f>Übersicht!$D$7/2*F24*PI()/180</f>
        <v>36.752472166811074</v>
      </c>
      <c r="H24" s="90">
        <f>A24*Übersicht!$D$6*1000</f>
        <v>630</v>
      </c>
      <c r="I24" s="91">
        <f>Übersicht!$D$7/2*D24*PI()/180</f>
        <v>-10.471975511965978</v>
      </c>
      <c r="J24" s="92">
        <f>Übersicht!$D$7/2*E24*PI()/180</f>
        <v>26.2804966548451</v>
      </c>
      <c r="K24" s="4"/>
    </row>
    <row r="25" spans="1:11" ht="12.75">
      <c r="A25" s="72">
        <v>0.95</v>
      </c>
      <c r="B25" s="73">
        <f>ATAN(1/(A25*Übersicht!$D$5))*180/PI()</f>
        <v>11.888658039627973</v>
      </c>
      <c r="C25" s="74">
        <f>B25-Übersicht!$D$9</f>
        <v>3.8886580396279733</v>
      </c>
      <c r="D25" s="75">
        <f t="shared" si="0"/>
        <v>-6</v>
      </c>
      <c r="E25" s="74">
        <f t="shared" si="1"/>
        <v>13.777316079255947</v>
      </c>
      <c r="F25" s="74">
        <f t="shared" si="2"/>
        <v>19.777316079255947</v>
      </c>
      <c r="G25" s="78">
        <f>Übersicht!$D$7/2*F25*PI()/180</f>
        <v>34.517928279063206</v>
      </c>
      <c r="H25" s="90">
        <f>A25*Übersicht!$D$6*1000</f>
        <v>664.9999999999999</v>
      </c>
      <c r="I25" s="91">
        <f>Übersicht!$D$7/2*D25*PI()/180</f>
        <v>-10.471975511965978</v>
      </c>
      <c r="J25" s="92">
        <f>Übersicht!$D$7/2*E25*PI()/180</f>
        <v>24.045952767097234</v>
      </c>
      <c r="K25" s="4"/>
    </row>
    <row r="26" spans="1:11" ht="13.5" thickBot="1">
      <c r="A26" s="72">
        <v>1</v>
      </c>
      <c r="B26" s="73">
        <f>ATAN(1/(A26*Übersicht!$D$5))*180/PI()</f>
        <v>11.309932474020213</v>
      </c>
      <c r="C26" s="74">
        <f>B26-Übersicht!$D$9</f>
        <v>3.309932474020213</v>
      </c>
      <c r="D26" s="75">
        <f t="shared" si="0"/>
        <v>-6</v>
      </c>
      <c r="E26" s="74">
        <f t="shared" si="1"/>
        <v>12.619864948040426</v>
      </c>
      <c r="F26" s="74">
        <f t="shared" si="2"/>
        <v>18.619864948040426</v>
      </c>
      <c r="G26" s="78">
        <f>Übersicht!$D$7/2*F26*PI()/180</f>
        <v>32.497794961998835</v>
      </c>
      <c r="H26" s="93">
        <f>A26*Übersicht!$D$6*1000</f>
        <v>700</v>
      </c>
      <c r="I26" s="94">
        <f>Übersicht!$D$7/2*D26*PI()/180</f>
        <v>-10.471975511965978</v>
      </c>
      <c r="J26" s="95">
        <f>Übersicht!$D$7/2*E26*PI()/180</f>
        <v>22.025819450032856</v>
      </c>
      <c r="K26" s="4"/>
    </row>
    <row r="27" spans="1:10" ht="12.75">
      <c r="A27" s="76"/>
      <c r="B27" s="76"/>
      <c r="C27" s="76"/>
      <c r="D27" s="76"/>
      <c r="E27" s="76"/>
      <c r="F27" s="76"/>
      <c r="G27" s="76"/>
      <c r="H27" s="79">
        <f>H26</f>
        <v>700</v>
      </c>
      <c r="I27" s="79"/>
      <c r="J27" s="80">
        <f>I26</f>
        <v>-10.471975511965978</v>
      </c>
    </row>
  </sheetData>
  <sheetProtection selectLockedCells="1"/>
  <mergeCells count="3">
    <mergeCell ref="H4:J4"/>
    <mergeCell ref="K6:K9"/>
    <mergeCell ref="L6:L9"/>
  </mergeCells>
  <conditionalFormatting sqref="F6:F26">
    <cfRule type="cellIs" priority="1" dxfId="0" operator="greaterThan" stopIfTrue="1">
      <formula>90</formula>
    </cfRule>
  </conditionalFormatting>
  <printOptions/>
  <pageMargins left="0.5118110236220472" right="0.4724409448818898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22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" width="15.7109375" style="0" customWidth="1"/>
    <col min="9" max="9" width="7.28125" style="0" customWidth="1"/>
  </cols>
  <sheetData>
    <row r="1" spans="1:14" ht="15.75">
      <c r="A1" s="6" t="s">
        <v>23</v>
      </c>
      <c r="J1" t="s">
        <v>56</v>
      </c>
      <c r="M1" t="s">
        <v>57</v>
      </c>
      <c r="N1" t="s">
        <v>58</v>
      </c>
    </row>
    <row r="2" spans="10:14" ht="12.75">
      <c r="J2" t="s">
        <v>59</v>
      </c>
      <c r="K2" s="1">
        <v>0.4593897744996934</v>
      </c>
      <c r="M2">
        <v>0</v>
      </c>
      <c r="N2" s="4">
        <f aca="true" t="shared" si="0" ref="N2:N11">$K$2+$K$3*M2+$K$4*M2^2+$K$5*M2^3+$K$6*M2^4</f>
        <v>0.4593897744996934</v>
      </c>
    </row>
    <row r="3" spans="1:14" ht="12.75">
      <c r="A3" s="7" t="s">
        <v>64</v>
      </c>
      <c r="B3" s="8" t="s">
        <v>65</v>
      </c>
      <c r="C3" s="8" t="s">
        <v>66</v>
      </c>
      <c r="D3" s="9" t="s">
        <v>67</v>
      </c>
      <c r="E3" s="8" t="s">
        <v>68</v>
      </c>
      <c r="F3" s="8" t="s">
        <v>69</v>
      </c>
      <c r="G3" s="8" t="s">
        <v>70</v>
      </c>
      <c r="H3" s="8" t="s">
        <v>71</v>
      </c>
      <c r="I3" s="5"/>
      <c r="J3" t="s">
        <v>60</v>
      </c>
      <c r="K3" s="1">
        <v>0.09733228225693928</v>
      </c>
      <c r="M3">
        <v>10</v>
      </c>
      <c r="N3" s="4">
        <f t="shared" si="0"/>
        <v>1.1033240489065708</v>
      </c>
    </row>
    <row r="4" spans="1:14" ht="12.75">
      <c r="A4" s="10">
        <f>Blattform!H10/1000</f>
        <v>0.13999999999999996</v>
      </c>
      <c r="B4" s="5"/>
      <c r="C4" s="5"/>
      <c r="D4" s="5"/>
      <c r="E4" s="5"/>
      <c r="F4" s="5"/>
      <c r="G4" s="5"/>
      <c r="H4" s="5"/>
      <c r="I4" s="5"/>
      <c r="J4" t="s">
        <v>61</v>
      </c>
      <c r="K4" s="1">
        <v>-0.0037833519927190627</v>
      </c>
      <c r="M4">
        <v>20</v>
      </c>
      <c r="N4" s="4">
        <f t="shared" si="0"/>
        <v>1.2646839889717116</v>
      </c>
    </row>
    <row r="5" spans="1:14" ht="12.75">
      <c r="A5" s="10">
        <f>Blattform!H11/1000</f>
        <v>0.175</v>
      </c>
      <c r="B5" s="10">
        <f aca="true" t="shared" si="1" ref="B5:B20">A5-A4</f>
        <v>0.03500000000000003</v>
      </c>
      <c r="C5" s="10">
        <f aca="true" t="shared" si="2" ref="C5:C20">(A5+A4)/2</f>
        <v>0.15749999999999997</v>
      </c>
      <c r="D5" s="11">
        <f>AVERAGE(Blattform!G10:G11)/1000*Anlaufmoment!B5</f>
        <v>0.004866140774394302</v>
      </c>
      <c r="E5" s="12">
        <f>90-AVERAGE(Blattform!C10:C11)</f>
        <v>56.17009587295495</v>
      </c>
      <c r="F5" s="13">
        <f>$K$2+$K$3*E5+$K$4*E5^2+$K$5*E5^3+$K$6*E5^4</f>
        <v>0.6611421892510134</v>
      </c>
      <c r="G5" s="14">
        <f>Übersicht!$D$4/2*Übersicht!$D$12^2*F5*D5</f>
        <v>0.28375800709418436</v>
      </c>
      <c r="H5" s="11">
        <f>G5*C5</f>
        <v>0.04469188611733403</v>
      </c>
      <c r="I5" s="5"/>
      <c r="J5" t="s">
        <v>62</v>
      </c>
      <c r="K5" s="1">
        <v>5.1394631416174564E-05</v>
      </c>
      <c r="M5">
        <v>30</v>
      </c>
      <c r="N5" s="4">
        <f t="shared" si="0"/>
        <v>1.1637100921479504</v>
      </c>
    </row>
    <row r="6" spans="1:14" ht="12.75">
      <c r="A6" s="10">
        <f>Blattform!H12/1000</f>
        <v>0.21</v>
      </c>
      <c r="B6" s="10">
        <f t="shared" si="1"/>
        <v>0.035</v>
      </c>
      <c r="C6" s="10">
        <f t="shared" si="2"/>
        <v>0.1925</v>
      </c>
      <c r="D6" s="11">
        <f>AVERAGE(Blattform!G11:G12)/1000*Anlaufmoment!B6</f>
        <v>0.004175256314919716</v>
      </c>
      <c r="E6" s="12">
        <f>90-AVERAGE(Blattform!C11:C12)</f>
        <v>61.82506210996506</v>
      </c>
      <c r="F6" s="13">
        <f aca="true" t="shared" si="3" ref="F6:F20">$K$2+$K$3*E6+$K$4*E6^2+$K$5*E6^3+$K$6*E6^4</f>
        <v>0.5845368710532606</v>
      </c>
      <c r="G6" s="14">
        <f>Übersicht!$D$4/2*Übersicht!$D$12^2*F6*D6</f>
        <v>0.21526014932326504</v>
      </c>
      <c r="H6" s="11">
        <f aca="true" t="shared" si="4" ref="H6:H20">G6*C6</f>
        <v>0.04143757874472852</v>
      </c>
      <c r="I6" s="5"/>
      <c r="J6" t="s">
        <v>63</v>
      </c>
      <c r="K6" s="1">
        <v>-2.4479803067836843E-07</v>
      </c>
      <c r="M6">
        <v>40</v>
      </c>
      <c r="N6" s="4">
        <f t="shared" si="0"/>
        <v>0.9618913285253132</v>
      </c>
    </row>
    <row r="7" spans="1:14" ht="12.75">
      <c r="A7" s="10">
        <f>Blattform!H13/1000</f>
        <v>0.24499999999999997</v>
      </c>
      <c r="B7" s="10">
        <f t="shared" si="1"/>
        <v>0.034999999999999976</v>
      </c>
      <c r="C7" s="10">
        <f t="shared" si="2"/>
        <v>0.22749999999999998</v>
      </c>
      <c r="D7" s="11">
        <f>AVERAGE(Blattform!G12:G13)/1000*Anlaufmoment!B7</f>
        <v>0.003630674417000108</v>
      </c>
      <c r="E7" s="12">
        <f>90-AVERAGE(Blattform!C12:C13)</f>
        <v>66.28252558853899</v>
      </c>
      <c r="F7" s="13">
        <f t="shared" si="3"/>
        <v>0.5304326407662057</v>
      </c>
      <c r="G7" s="14">
        <f>Übersicht!$D$4/2*Übersicht!$D$12^2*F7*D7</f>
        <v>0.16985804889566142</v>
      </c>
      <c r="H7" s="11">
        <f t="shared" si="4"/>
        <v>0.03864270612376297</v>
      </c>
      <c r="I7" s="5"/>
      <c r="M7">
        <v>50</v>
      </c>
      <c r="N7" s="4">
        <f t="shared" si="0"/>
        <v>0.7619651408310177</v>
      </c>
    </row>
    <row r="8" spans="1:14" ht="12.75">
      <c r="A8" s="10">
        <f>Blattform!H14/1000</f>
        <v>0.2799999999999999</v>
      </c>
      <c r="B8" s="10">
        <f t="shared" si="1"/>
        <v>0.03499999999999995</v>
      </c>
      <c r="C8" s="10">
        <f t="shared" si="2"/>
        <v>0.26249999999999996</v>
      </c>
      <c r="D8" s="11">
        <f>AVERAGE(Blattform!G13:G14)/1000*Anlaufmoment!B8</f>
        <v>0.0031954319360864404</v>
      </c>
      <c r="E8" s="12">
        <f>90-AVERAGE(Blattform!C13:C14)</f>
        <v>69.84503376298989</v>
      </c>
      <c r="F8" s="13">
        <f t="shared" si="3"/>
        <v>0.486946074542252</v>
      </c>
      <c r="G8" s="14">
        <f>Übersicht!$D$4/2*Übersicht!$D$12^2*F8*D8</f>
        <v>0.137239467929042</v>
      </c>
      <c r="H8" s="11">
        <f t="shared" si="4"/>
        <v>0.036025360331373525</v>
      </c>
      <c r="I8" s="5"/>
      <c r="M8">
        <v>60</v>
      </c>
      <c r="N8" s="4">
        <f t="shared" si="0"/>
        <v>0.6079174444294755</v>
      </c>
    </row>
    <row r="9" spans="1:14" ht="12.75">
      <c r="A9" s="10">
        <f>Blattform!H15/1000</f>
        <v>0.315</v>
      </c>
      <c r="B9" s="10">
        <f t="shared" si="1"/>
        <v>0.03500000000000009</v>
      </c>
      <c r="C9" s="10">
        <f t="shared" si="2"/>
        <v>0.2975</v>
      </c>
      <c r="D9" s="11">
        <f>AVERAGE(Blattform!G14:G15)/1000*Anlaufmoment!B9</f>
        <v>0.002842205689750924</v>
      </c>
      <c r="E9" s="12">
        <f>90-AVERAGE(Blattform!C14:C15)</f>
        <v>72.73622992417191</v>
      </c>
      <c r="F9" s="13">
        <f t="shared" si="3"/>
        <v>0.4484666074211594</v>
      </c>
      <c r="G9" s="14">
        <f>Übersicht!$D$4/2*Übersicht!$D$12^2*F9*D9</f>
        <v>0.1124227490769179</v>
      </c>
      <c r="H9" s="11">
        <f t="shared" si="4"/>
        <v>0.03344576785038308</v>
      </c>
      <c r="I9" s="5"/>
      <c r="M9">
        <v>70</v>
      </c>
      <c r="N9" s="4">
        <f t="shared" si="0"/>
        <v>0.48498262732228703</v>
      </c>
    </row>
    <row r="10" spans="1:14" ht="12.75">
      <c r="A10" s="10">
        <f>Blattform!H16/1000</f>
        <v>0.35</v>
      </c>
      <c r="B10" s="10">
        <f t="shared" si="1"/>
        <v>0.034999999999999976</v>
      </c>
      <c r="C10" s="10">
        <f t="shared" si="2"/>
        <v>0.3325</v>
      </c>
      <c r="D10" s="11">
        <f>AVERAGE(Blattform!G15:G16)/1000*Anlaufmoment!B10</f>
        <v>0.0025512113781413714</v>
      </c>
      <c r="E10" s="12">
        <f>90-AVERAGE(Blattform!C15:C16)</f>
        <v>75.118050769535</v>
      </c>
      <c r="F10" s="13">
        <f t="shared" si="3"/>
        <v>0.4126098971365675</v>
      </c>
      <c r="G10" s="14">
        <f>Übersicht!$D$4/2*Übersicht!$D$12^2*F10*D10</f>
        <v>0.09284417667201426</v>
      </c>
      <c r="H10" s="11">
        <f t="shared" si="4"/>
        <v>0.030870688743444744</v>
      </c>
      <c r="I10" s="5"/>
      <c r="M10">
        <v>80</v>
      </c>
      <c r="N10" s="4">
        <f t="shared" si="0"/>
        <v>0.3196435501482391</v>
      </c>
    </row>
    <row r="11" spans="1:14" ht="12.75">
      <c r="A11" s="10">
        <f>Blattform!H17/1000</f>
        <v>0.385</v>
      </c>
      <c r="B11" s="10">
        <f t="shared" si="1"/>
        <v>0.03500000000000003</v>
      </c>
      <c r="C11" s="10">
        <f t="shared" si="2"/>
        <v>0.3675</v>
      </c>
      <c r="D11" s="11">
        <f>AVERAGE(Blattform!G16:G17)/1000*Anlaufmoment!B11</f>
        <v>0.0023081247371577475</v>
      </c>
      <c r="E11" s="12">
        <f>90-AVERAGE(Blattform!C16:C17)</f>
        <v>77.10774199587411</v>
      </c>
      <c r="F11" s="13">
        <f t="shared" si="3"/>
        <v>0.3784655040499043</v>
      </c>
      <c r="G11" s="14">
        <f>Übersicht!$D$4/2*Übersicht!$D$12^2*F11*D11</f>
        <v>0.07704672121955616</v>
      </c>
      <c r="H11" s="11">
        <f t="shared" si="4"/>
        <v>0.02831467004818689</v>
      </c>
      <c r="I11" s="5"/>
      <c r="M11">
        <v>90</v>
      </c>
      <c r="N11" s="4">
        <f t="shared" si="0"/>
        <v>-0.02036845381667618</v>
      </c>
    </row>
    <row r="12" spans="1:9" ht="12.75">
      <c r="A12" s="10">
        <f>Blattform!H18/1000</f>
        <v>0.42</v>
      </c>
      <c r="B12" s="10">
        <f t="shared" si="1"/>
        <v>0.034999999999999976</v>
      </c>
      <c r="C12" s="10">
        <f t="shared" si="2"/>
        <v>0.40249999999999997</v>
      </c>
      <c r="D12" s="11">
        <f>AVERAGE(Blattform!G17:G18)/1000*Anlaufmoment!B12</f>
        <v>0.0021024793576527147</v>
      </c>
      <c r="E12" s="12">
        <f>90-AVERAGE(Blattform!C17:C18)</f>
        <v>78.790972327589</v>
      </c>
      <c r="F12" s="13">
        <f t="shared" si="3"/>
        <v>0.3457417458983709</v>
      </c>
      <c r="G12" s="14">
        <f>Übersicht!$D$4/2*Übersicht!$D$12^2*F12*D12</f>
        <v>0.0641138927538179</v>
      </c>
      <c r="H12" s="11">
        <f t="shared" si="4"/>
        <v>0.025805841833411704</v>
      </c>
      <c r="I12" s="5"/>
    </row>
    <row r="13" spans="1:9" ht="12.75">
      <c r="A13" s="10">
        <f>Blattform!H19/1000</f>
        <v>0.45499999999999996</v>
      </c>
      <c r="B13" s="10">
        <f t="shared" si="1"/>
        <v>0.034999999999999976</v>
      </c>
      <c r="C13" s="10">
        <f t="shared" si="2"/>
        <v>0.4375</v>
      </c>
      <c r="D13" s="11">
        <f>AVERAGE(Blattform!G18:G19)/1000*Anlaufmoment!B13</f>
        <v>0.0019265271056606676</v>
      </c>
      <c r="E13" s="12">
        <f>90-AVERAGE(Blattform!C18:C19)</f>
        <v>80.23116110401281</v>
      </c>
      <c r="F13" s="13">
        <f t="shared" si="3"/>
        <v>0.3143797455155166</v>
      </c>
      <c r="G13" s="14">
        <f>Übersicht!$D$4/2*Übersicht!$D$12^2*F13*D13</f>
        <v>0.053419309126399674</v>
      </c>
      <c r="H13" s="11">
        <f t="shared" si="4"/>
        <v>0.023370947742799856</v>
      </c>
      <c r="I13" s="5"/>
    </row>
    <row r="14" spans="1:9" ht="12.75">
      <c r="A14" s="10">
        <f>Blattform!H20/1000</f>
        <v>0.48999999999999994</v>
      </c>
      <c r="B14" s="10">
        <f t="shared" si="1"/>
        <v>0.034999999999999976</v>
      </c>
      <c r="C14" s="10">
        <f t="shared" si="2"/>
        <v>0.4724999999999999</v>
      </c>
      <c r="D14" s="11">
        <f>AVERAGE(Blattform!G19:G20)/1000*Anlaufmoment!B14</f>
        <v>0.00177444897179031</v>
      </c>
      <c r="E14" s="12">
        <f>90-AVERAGE(Blattform!C19:C20)</f>
        <v>81.47593756501239</v>
      </c>
      <c r="F14" s="13">
        <f t="shared" si="3"/>
        <v>0.28438951833706305</v>
      </c>
      <c r="G14" s="14">
        <f>Übersicht!$D$4/2*Übersicht!$D$12^2*F14*D14</f>
        <v>0.04450877951698082</v>
      </c>
      <c r="H14" s="11">
        <f t="shared" si="4"/>
        <v>0.021030398321773433</v>
      </c>
      <c r="I14" s="5"/>
    </row>
    <row r="15" spans="1:9" ht="12.75">
      <c r="A15" s="10">
        <f>Blattform!H21/1000</f>
        <v>0.5249999999999999</v>
      </c>
      <c r="B15" s="10">
        <f t="shared" si="1"/>
        <v>0.034999999999999976</v>
      </c>
      <c r="C15" s="10">
        <f t="shared" si="2"/>
        <v>0.5075</v>
      </c>
      <c r="D15" s="11">
        <f>AVERAGE(Blattform!G20:G21)/1000*Anlaufmoment!B15</f>
        <v>0.0016418110823543759</v>
      </c>
      <c r="E15" s="12">
        <f>90-AVERAGE(Blattform!C20:C21)</f>
        <v>82.5615934604698</v>
      </c>
      <c r="F15" s="13">
        <f t="shared" si="3"/>
        <v>0.25578591609104073</v>
      </c>
      <c r="G15" s="14">
        <f>Übersicht!$D$4/2*Übersicht!$D$12^2*F15*D15</f>
        <v>0.037039779784212155</v>
      </c>
      <c r="H15" s="11">
        <f t="shared" si="4"/>
        <v>0.018797688240487668</v>
      </c>
      <c r="I15" s="5"/>
    </row>
    <row r="16" spans="1:9" ht="12.75">
      <c r="A16" s="10">
        <f>Blattform!H22/1000</f>
        <v>0.5599999999999998</v>
      </c>
      <c r="B16" s="10">
        <f t="shared" si="1"/>
        <v>0.03499999999999992</v>
      </c>
      <c r="C16" s="10">
        <f t="shared" si="2"/>
        <v>0.5424999999999999</v>
      </c>
      <c r="D16" s="11">
        <f>AVERAGE(Blattform!G21:G22)/1000*Anlaufmoment!B16</f>
        <v>0.0015251875967805082</v>
      </c>
      <c r="E16" s="12">
        <f>90-AVERAGE(Blattform!C21:C22)</f>
        <v>83.51616967696799</v>
      </c>
      <c r="F16" s="13">
        <f t="shared" si="3"/>
        <v>0.2285676330722506</v>
      </c>
      <c r="G16" s="14">
        <f>Übersicht!$D$4/2*Übersicht!$D$12^2*F16*D16</f>
        <v>0.030747271374677643</v>
      </c>
      <c r="H16" s="11">
        <f t="shared" si="4"/>
        <v>0.016680394720762617</v>
      </c>
      <c r="I16" s="5"/>
    </row>
    <row r="17" spans="1:9" ht="12.75">
      <c r="A17" s="10">
        <f>Blattform!H23/1000</f>
        <v>0.595</v>
      </c>
      <c r="B17" s="10">
        <f t="shared" si="1"/>
        <v>0.03500000000000014</v>
      </c>
      <c r="C17" s="10">
        <f t="shared" si="2"/>
        <v>0.5774999999999999</v>
      </c>
      <c r="D17" s="11">
        <f>AVERAGE(Blattform!G22:G23)/1000*Anlaufmoment!B17</f>
        <v>0.0014218965608504641</v>
      </c>
      <c r="E17" s="12">
        <f>90-AVERAGE(Blattform!C22:C23)</f>
        <v>84.36161830844316</v>
      </c>
      <c r="F17" s="13">
        <f t="shared" si="3"/>
        <v>0.2027137245653563</v>
      </c>
      <c r="G17" s="14">
        <f>Übersicht!$D$4/2*Übersicht!$D$12^2*F17*D17</f>
        <v>0.02542258699566615</v>
      </c>
      <c r="H17" s="11">
        <f t="shared" si="4"/>
        <v>0.014681543989997199</v>
      </c>
      <c r="I17" s="5"/>
    </row>
    <row r="18" spans="1:9" ht="12.75">
      <c r="A18" s="10">
        <f>Blattform!H24/1000</f>
        <v>0.63</v>
      </c>
      <c r="B18" s="10">
        <f t="shared" si="1"/>
        <v>0.03500000000000003</v>
      </c>
      <c r="C18" s="10">
        <f t="shared" si="2"/>
        <v>0.6125</v>
      </c>
      <c r="D18" s="11">
        <f>AVERAGE(Blattform!G23:G24)/1000*Anlaufmoment!B18</f>
        <v>0.0013298125504652317</v>
      </c>
      <c r="E18" s="12">
        <f>90-AVERAGE(Blattform!C23:C24)</f>
        <v>85.11533618783064</v>
      </c>
      <c r="F18" s="13">
        <f t="shared" si="3"/>
        <v>0.17818646122602644</v>
      </c>
      <c r="G18" s="14">
        <f>Übersicht!$D$4/2*Übersicht!$D$12^2*F18*D18</f>
        <v>0.020899395055091627</v>
      </c>
      <c r="H18" s="11">
        <f t="shared" si="4"/>
        <v>0.012800879471243622</v>
      </c>
      <c r="I18" s="5"/>
    </row>
    <row r="19" spans="1:9" ht="12.75">
      <c r="A19" s="10">
        <f>Blattform!H25/1000</f>
        <v>0.6649999999999999</v>
      </c>
      <c r="B19" s="10">
        <f t="shared" si="1"/>
        <v>0.03499999999999992</v>
      </c>
      <c r="C19" s="10">
        <f t="shared" si="2"/>
        <v>0.6475</v>
      </c>
      <c r="D19" s="11">
        <f>AVERAGE(Blattform!G24:G25)/1000*Anlaufmoment!B19</f>
        <v>0.0012472320078027973</v>
      </c>
      <c r="E19" s="12">
        <f>90-AVERAGE(Blattform!C24:C25)</f>
        <v>85.79126712561026</v>
      </c>
      <c r="F19" s="13">
        <f t="shared" si="3"/>
        <v>0.15493582443211018</v>
      </c>
      <c r="G19" s="14">
        <f>Übersicht!$D$4/2*Übersicht!$D$12^2*F19*D19</f>
        <v>0.017043849089937148</v>
      </c>
      <c r="H19" s="11">
        <f t="shared" si="4"/>
        <v>0.011035892285734303</v>
      </c>
      <c r="I19" s="5"/>
    </row>
    <row r="20" spans="1:9" ht="13.5" thickBot="1">
      <c r="A20" s="10">
        <f>Blattform!H26/1000</f>
        <v>0.7</v>
      </c>
      <c r="B20" s="10">
        <f t="shared" si="1"/>
        <v>0.03500000000000003</v>
      </c>
      <c r="C20" s="10">
        <f t="shared" si="2"/>
        <v>0.6824999999999999</v>
      </c>
      <c r="D20" s="11">
        <f>AVERAGE(Blattform!G25:G26)/1000*Anlaufmoment!B20</f>
        <v>0.0011727751567185865</v>
      </c>
      <c r="E20" s="12">
        <f>90-AVERAGE(Blattform!C25:C26)</f>
        <v>86.40070474317591</v>
      </c>
      <c r="F20" s="13">
        <f t="shared" si="3"/>
        <v>0.13290381751869518</v>
      </c>
      <c r="G20" s="14">
        <f>Übersicht!$D$4/2*Übersicht!$D$12^2*F20*D20</f>
        <v>0.01374740725595458</v>
      </c>
      <c r="H20" s="11">
        <f t="shared" si="4"/>
        <v>0.009382605452188999</v>
      </c>
      <c r="I20" s="5"/>
    </row>
    <row r="21" spans="3:9" ht="13.5" thickBot="1">
      <c r="C21" s="27" t="s">
        <v>86</v>
      </c>
      <c r="D21" s="28">
        <f>SUM(D5:D20)</f>
        <v>0.03771121563752625</v>
      </c>
      <c r="F21" s="15" t="s">
        <v>36</v>
      </c>
      <c r="G21" s="16"/>
      <c r="H21" s="17">
        <f>SUM(H5:H20)*Übersicht!$D$8</f>
        <v>1.2210445500528397</v>
      </c>
      <c r="I21" s="18" t="s">
        <v>27</v>
      </c>
    </row>
    <row r="22" spans="6:9" ht="13.5" thickBot="1">
      <c r="F22" s="19" t="s">
        <v>72</v>
      </c>
      <c r="G22" s="20"/>
      <c r="H22" s="21">
        <f>Übersicht!$D$5*Übersicht!$D$12/Übersicht!$D$6/2/PI()*60</f>
        <v>818.5111359011762</v>
      </c>
      <c r="I22" s="22" t="s">
        <v>29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2"/>
  <sheetViews>
    <sheetView workbookViewId="0" topLeftCell="A1">
      <selection activeCell="E19" sqref="E19"/>
    </sheetView>
  </sheetViews>
  <sheetFormatPr defaultColWidth="11.421875" defaultRowHeight="12.75"/>
  <cols>
    <col min="2" max="2" width="8.57421875" style="0" customWidth="1"/>
    <col min="3" max="3" width="8.421875" style="0" customWidth="1"/>
  </cols>
  <sheetData>
    <row r="1" spans="1:5" ht="13.5" thickBot="1">
      <c r="A1" s="4"/>
      <c r="B1" s="4"/>
      <c r="C1" s="24" t="s">
        <v>80</v>
      </c>
      <c r="D1" s="25"/>
      <c r="E1" s="26"/>
    </row>
    <row r="2" spans="1:2" ht="12.75">
      <c r="A2" s="4" t="s">
        <v>78</v>
      </c>
      <c r="B2" s="4" t="s">
        <v>77</v>
      </c>
    </row>
    <row r="3" spans="1:2" ht="12.75">
      <c r="A3" s="4">
        <v>1.22</v>
      </c>
      <c r="B3" s="4">
        <v>75.14</v>
      </c>
    </row>
    <row r="4" spans="1:4" ht="12.75">
      <c r="A4" s="4">
        <v>1.46</v>
      </c>
      <c r="B4" s="4">
        <v>60.16</v>
      </c>
      <c r="D4" s="23" t="s">
        <v>79</v>
      </c>
    </row>
    <row r="5" spans="1:5" ht="12.75">
      <c r="A5" s="4">
        <v>1.78</v>
      </c>
      <c r="B5" s="4">
        <v>45.05</v>
      </c>
      <c r="D5" t="s">
        <v>59</v>
      </c>
      <c r="E5" s="2">
        <v>253.82003977159462</v>
      </c>
    </row>
    <row r="6" spans="1:5" ht="12.75">
      <c r="A6" s="4">
        <v>2.08</v>
      </c>
      <c r="B6" s="4">
        <v>35.12</v>
      </c>
      <c r="D6" t="s">
        <v>60</v>
      </c>
      <c r="E6" s="2">
        <v>-253.02283624457525</v>
      </c>
    </row>
    <row r="7" spans="1:5" ht="12.75">
      <c r="A7" s="4">
        <v>2.32</v>
      </c>
      <c r="B7" s="4">
        <v>30.08</v>
      </c>
      <c r="D7" t="s">
        <v>61</v>
      </c>
      <c r="E7" s="2">
        <v>119.89584171481525</v>
      </c>
    </row>
    <row r="8" spans="1:5" ht="12.75">
      <c r="A8" s="4">
        <v>3.08</v>
      </c>
      <c r="B8" s="4">
        <v>18.51</v>
      </c>
      <c r="D8" t="s">
        <v>62</v>
      </c>
      <c r="E8" s="2">
        <v>-32.26654792563684</v>
      </c>
    </row>
    <row r="9" spans="1:5" ht="12.75">
      <c r="A9" s="4">
        <v>4.03</v>
      </c>
      <c r="B9" s="4">
        <v>11.57</v>
      </c>
      <c r="D9" t="s">
        <v>63</v>
      </c>
      <c r="E9" s="2">
        <v>5.1505009943891835</v>
      </c>
    </row>
    <row r="10" spans="1:5" ht="12.75">
      <c r="A10" s="4">
        <v>4.97</v>
      </c>
      <c r="B10" s="4">
        <v>7.21</v>
      </c>
      <c r="D10" t="s">
        <v>74</v>
      </c>
      <c r="E10" s="2">
        <v>-0.4814235806424884</v>
      </c>
    </row>
    <row r="11" spans="1:5" ht="12.75">
      <c r="A11" s="4">
        <v>6.08</v>
      </c>
      <c r="B11" s="4">
        <v>4.63</v>
      </c>
      <c r="D11" t="s">
        <v>75</v>
      </c>
      <c r="E11" s="2">
        <v>0.024300791389719783</v>
      </c>
    </row>
    <row r="12" spans="1:5" ht="12.75">
      <c r="A12" s="4">
        <v>7.08</v>
      </c>
      <c r="B12" s="4">
        <v>3.4</v>
      </c>
      <c r="D12" t="s">
        <v>76</v>
      </c>
      <c r="E12" s="2">
        <v>-0.0005108135188073922</v>
      </c>
    </row>
    <row r="13" spans="1:2" ht="12.75">
      <c r="A13" s="4">
        <v>8.03</v>
      </c>
      <c r="B13" s="4">
        <v>2.59</v>
      </c>
    </row>
    <row r="14" spans="1:5" ht="12.75">
      <c r="A14" s="4">
        <v>9.03</v>
      </c>
      <c r="B14" s="4">
        <v>2.04</v>
      </c>
      <c r="D14" t="s">
        <v>73</v>
      </c>
      <c r="E14" s="3">
        <v>0.1663654501252017</v>
      </c>
    </row>
    <row r="15" spans="1:2" ht="12.75">
      <c r="A15" s="4">
        <v>10.03</v>
      </c>
      <c r="B15" s="4">
        <v>1.91</v>
      </c>
    </row>
    <row r="16" spans="1:2" ht="12.75">
      <c r="A16">
        <v>11.08</v>
      </c>
      <c r="B16">
        <v>1.77</v>
      </c>
    </row>
    <row r="21" ht="13.5" thickBot="1"/>
    <row r="22" spans="1:5" ht="13.5" thickBot="1">
      <c r="A22" s="27" t="s">
        <v>83</v>
      </c>
      <c r="B22" s="25"/>
      <c r="C22" s="29">
        <f>Übersicht!D5</f>
        <v>5</v>
      </c>
      <c r="D22" s="31">
        <f>E5+E6*C22+E7*C22^2+E8*C22^3+E9*C22^4+E10*C22^5+E11*C22^6+E12*C22^7</f>
        <v>7.190402007501994</v>
      </c>
      <c r="E22" s="26" t="s">
        <v>16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RoWiTool</dc:title>
  <dc:subject>Rohrwindrad</dc:subject>
  <dc:creator>Max Schleeff</dc:creator>
  <cp:keywords/>
  <dc:description>Tool zur Berechnung von Zuschnittschablonen</dc:description>
  <cp:lastModifiedBy>Georgi</cp:lastModifiedBy>
  <cp:lastPrinted>2011-09-19T14:32:03Z</cp:lastPrinted>
  <dcterms:created xsi:type="dcterms:W3CDTF">2009-11-30T16:16:49Z</dcterms:created>
  <dcterms:modified xsi:type="dcterms:W3CDTF">2011-09-19T18:09:55Z</dcterms:modified>
  <cp:category/>
  <cp:version/>
  <cp:contentType/>
  <cp:contentStatus/>
</cp:coreProperties>
</file>